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0490" windowHeight="7650" tabRatio="895" activeTab="13"/>
  </bookViews>
  <sheets>
    <sheet name="48N" sheetId="75" r:id="rId1"/>
    <sheet name="49N" sheetId="76" r:id="rId2"/>
    <sheet name="50N" sheetId="77" r:id="rId3"/>
    <sheet name="51N" sheetId="78" r:id="rId4"/>
    <sheet name="52N" sheetId="79" r:id="rId5"/>
    <sheet name="53N" sheetId="80" r:id="rId6"/>
    <sheet name="54N" sheetId="81" r:id="rId7"/>
    <sheet name="55N" sheetId="82" r:id="rId8"/>
    <sheet name="56N" sheetId="83" r:id="rId9"/>
    <sheet name="57N" sheetId="84" r:id="rId10"/>
    <sheet name="58N" sheetId="85" r:id="rId11"/>
    <sheet name="59N" sheetId="86" r:id="rId12"/>
    <sheet name="60N" sheetId="87" r:id="rId13"/>
    <sheet name="61N" sheetId="88" r:id="rId14"/>
    <sheet name="62N" sheetId="89" r:id="rId15"/>
    <sheet name="59" sheetId="58" r:id="rId16"/>
    <sheet name="60" sheetId="59" r:id="rId17"/>
    <sheet name="61" sheetId="121" r:id="rId18"/>
    <sheet name="62" sheetId="131" state="hidden" r:id="rId19"/>
    <sheet name="63" sheetId="132" state="hidden" r:id="rId20"/>
    <sheet name="64" sheetId="63" r:id="rId21"/>
    <sheet name="65" sheetId="64" r:id="rId22"/>
    <sheet name="66" sheetId="65" r:id="rId23"/>
    <sheet name="67" sheetId="66" r:id="rId24"/>
    <sheet name="5.29" sheetId="67" state="hidden" r:id="rId25"/>
    <sheet name="69" sheetId="68" r:id="rId26"/>
    <sheet name="70" sheetId="99" state="hidden" r:id="rId27"/>
    <sheet name="ĐTC 1" sheetId="122" state="hidden" r:id="rId28"/>
    <sheet name="ĐTC 2" sheetId="123" state="hidden" r:id="rId29"/>
    <sheet name="71" sheetId="91" r:id="rId30"/>
    <sheet name="72" sheetId="90" r:id="rId31"/>
    <sheet name="ĐTC" sheetId="133" r:id="rId32"/>
    <sheet name="ĐTC1" sheetId="134" r:id="rId33"/>
    <sheet name="MS01" sheetId="124" state="hidden" r:id="rId34"/>
    <sheet name="MS02" sheetId="125" state="hidden" r:id="rId35"/>
    <sheet name="MS03" sheetId="126" state="hidden" r:id="rId36"/>
    <sheet name="MS04" sheetId="127" state="hidden" r:id="rId37"/>
    <sheet name="MS05" sheetId="128" state="hidden" r:id="rId38"/>
    <sheet name="MS06" sheetId="129" state="hidden" r:id="rId39"/>
    <sheet name="MS07" sheetId="130" state="hidden" r:id="rId40"/>
    <sheet name="Vay-cho vay" sheetId="119" state="hidden" r:id="rId41"/>
  </sheets>
  <definedNames>
    <definedName name="_xlnm._FilterDatabase" localSheetId="14" hidden="1">'62N'!$A$13:$AJ$21</definedName>
    <definedName name="_xlnm._FilterDatabase" localSheetId="30" hidden="1">'72'!$A$9:$R$22</definedName>
    <definedName name="_xlnm.Print_Area" localSheetId="7">'55N'!$A$1:$S$17</definedName>
    <definedName name="_xlnm.Print_Area" localSheetId="15">'59'!$A$1:$H$31</definedName>
    <definedName name="_xlnm.Print_Titles" localSheetId="3">'51N'!$6:$7</definedName>
    <definedName name="_xlnm.Print_Titles" localSheetId="5">'53N'!$6:$7</definedName>
    <definedName name="_xlnm.Print_Titles" localSheetId="6">'54N'!$6:$9</definedName>
    <definedName name="_xlnm.Print_Titles" localSheetId="7">'55N'!$6:$7</definedName>
    <definedName name="_xlnm.Print_Titles" localSheetId="8">'56N'!$5:$7</definedName>
    <definedName name="_xlnm.Print_Titles" localSheetId="9">'57N'!$7:$9</definedName>
    <definedName name="_xlnm.Print_Titles" localSheetId="16">'60'!$5:$8</definedName>
    <definedName name="_xlnm.Print_Titles" localSheetId="17">'61'!$5:$7</definedName>
    <definedName name="_xlnm.Print_Titles" localSheetId="14">'62N'!$5:$9</definedName>
    <definedName name="_xlnm.Print_Titles" localSheetId="20">'64'!$5:$5</definedName>
    <definedName name="_xlnm.Print_Titles" localSheetId="21">'65'!$6:$7</definedName>
    <definedName name="_xlnm.Print_Titles" localSheetId="25">'69'!$5:$7</definedName>
    <definedName name="_xlnm.Print_Titles" localSheetId="26">'70'!$6:$7</definedName>
    <definedName name="_xlnm.Print_Titles" localSheetId="33">'MS01'!$5:$6</definedName>
    <definedName name="_xlnm.Print_Titles">#N/A</definedName>
  </definedNames>
  <calcPr calcId="162913"/>
</workbook>
</file>

<file path=xl/calcChain.xml><?xml version="1.0" encoding="utf-8"?>
<calcChain xmlns="http://schemas.openxmlformats.org/spreadsheetml/2006/main">
  <c r="A4" i="134" l="1"/>
  <c r="A1" i="134"/>
  <c r="X18" i="134"/>
  <c r="W18" i="134"/>
  <c r="Q18" i="134"/>
  <c r="U18" i="134" s="1"/>
  <c r="U17" i="134" s="1"/>
  <c r="K18" i="134"/>
  <c r="Y18" i="134" s="1"/>
  <c r="Y17" i="134" s="1"/>
  <c r="X17" i="134"/>
  <c r="X16" i="134" s="1"/>
  <c r="X15" i="134" s="1"/>
  <c r="X10" i="134" s="1"/>
  <c r="W17" i="134"/>
  <c r="T17" i="134"/>
  <c r="S17" i="134"/>
  <c r="R17" i="134"/>
  <c r="R16" i="134" s="1"/>
  <c r="R15" i="134" s="1"/>
  <c r="R10" i="134" s="1"/>
  <c r="Q17" i="134"/>
  <c r="Q16" i="134" s="1"/>
  <c r="Q15" i="134" s="1"/>
  <c r="Q10" i="134" s="1"/>
  <c r="P17" i="134"/>
  <c r="P14" i="134" s="1"/>
  <c r="P13" i="134" s="1"/>
  <c r="N17" i="134"/>
  <c r="M17" i="134"/>
  <c r="L17" i="134"/>
  <c r="J17" i="134"/>
  <c r="J16" i="134" s="1"/>
  <c r="J15" i="134" s="1"/>
  <c r="J10" i="134" s="1"/>
  <c r="I17" i="134"/>
  <c r="I16" i="134" s="1"/>
  <c r="I15" i="134" s="1"/>
  <c r="I10" i="134" s="1"/>
  <c r="H17" i="134"/>
  <c r="H16" i="134" s="1"/>
  <c r="H15" i="134" s="1"/>
  <c r="H10" i="134" s="1"/>
  <c r="G17" i="134"/>
  <c r="G16" i="134" s="1"/>
  <c r="G15" i="134" s="1"/>
  <c r="G10" i="134" s="1"/>
  <c r="F17" i="134"/>
  <c r="E17" i="134"/>
  <c r="W16" i="134"/>
  <c r="W15" i="134" s="1"/>
  <c r="W10" i="134" s="1"/>
  <c r="T16" i="134"/>
  <c r="T15" i="134" s="1"/>
  <c r="T10" i="134" s="1"/>
  <c r="S16" i="134"/>
  <c r="N16" i="134"/>
  <c r="N15" i="134" s="1"/>
  <c r="N10" i="134" s="1"/>
  <c r="M16" i="134"/>
  <c r="M15" i="134" s="1"/>
  <c r="M10" i="134" s="1"/>
  <c r="L16" i="134"/>
  <c r="L15" i="134" s="1"/>
  <c r="L10" i="134" s="1"/>
  <c r="F16" i="134"/>
  <c r="F15" i="134" s="1"/>
  <c r="F10" i="134" s="1"/>
  <c r="E16" i="134"/>
  <c r="E15" i="134" s="1"/>
  <c r="E10" i="134" s="1"/>
  <c r="V15" i="134"/>
  <c r="S15" i="134"/>
  <c r="S10" i="134" s="1"/>
  <c r="X14" i="134"/>
  <c r="X13" i="134" s="1"/>
  <c r="W14" i="134"/>
  <c r="W13" i="134" s="1"/>
  <c r="V14" i="134"/>
  <c r="V13" i="134" s="1"/>
  <c r="T14" i="134"/>
  <c r="S14" i="134"/>
  <c r="N14" i="134"/>
  <c r="N13" i="134" s="1"/>
  <c r="M14" i="134"/>
  <c r="L14" i="134"/>
  <c r="G14" i="134"/>
  <c r="G13" i="134" s="1"/>
  <c r="F14" i="134"/>
  <c r="F13" i="134" s="1"/>
  <c r="E14" i="134"/>
  <c r="T13" i="134"/>
  <c r="S13" i="134"/>
  <c r="M13" i="134"/>
  <c r="L13" i="134"/>
  <c r="E13" i="134"/>
  <c r="V10" i="134"/>
  <c r="A4" i="133"/>
  <c r="Y47" i="133"/>
  <c r="Y46" i="133" s="1"/>
  <c r="Y45" i="133" s="1"/>
  <c r="X47" i="133"/>
  <c r="X46" i="133" s="1"/>
  <c r="X45" i="133" s="1"/>
  <c r="W47" i="133"/>
  <c r="U47" i="133"/>
  <c r="O47" i="133"/>
  <c r="K47" i="133"/>
  <c r="W46" i="133"/>
  <c r="U46" i="133"/>
  <c r="U45" i="133" s="1"/>
  <c r="T46" i="133"/>
  <c r="S46" i="133"/>
  <c r="S45" i="133" s="1"/>
  <c r="R46" i="133"/>
  <c r="Q46" i="133"/>
  <c r="P46" i="133"/>
  <c r="P45" i="133" s="1"/>
  <c r="P41" i="133" s="1"/>
  <c r="O46" i="133"/>
  <c r="N46" i="133"/>
  <c r="M46" i="133"/>
  <c r="M45" i="133" s="1"/>
  <c r="L46" i="133"/>
  <c r="K46" i="133"/>
  <c r="K45" i="133" s="1"/>
  <c r="J46" i="133"/>
  <c r="I46" i="133"/>
  <c r="H46" i="133"/>
  <c r="H45" i="133" s="1"/>
  <c r="H41" i="133" s="1"/>
  <c r="G46" i="133"/>
  <c r="F46" i="133"/>
  <c r="E46" i="133"/>
  <c r="E45" i="133" s="1"/>
  <c r="W45" i="133"/>
  <c r="T45" i="133"/>
  <c r="R45" i="133"/>
  <c r="R41" i="133" s="1"/>
  <c r="Q45" i="133"/>
  <c r="O45" i="133"/>
  <c r="N45" i="133"/>
  <c r="L45" i="133"/>
  <c r="J45" i="133"/>
  <c r="J41" i="133" s="1"/>
  <c r="I45" i="133"/>
  <c r="G45" i="133"/>
  <c r="F45" i="133"/>
  <c r="X44" i="133"/>
  <c r="X43" i="133" s="1"/>
  <c r="X42" i="133" s="1"/>
  <c r="X41" i="133" s="1"/>
  <c r="W44" i="133"/>
  <c r="W43" i="133" s="1"/>
  <c r="W42" i="133" s="1"/>
  <c r="W41" i="133" s="1"/>
  <c r="U44" i="133"/>
  <c r="U43" i="133" s="1"/>
  <c r="U42" i="133" s="1"/>
  <c r="U41" i="133" s="1"/>
  <c r="K44" i="133"/>
  <c r="O44" i="133" s="1"/>
  <c r="O43" i="133" s="1"/>
  <c r="O42" i="133" s="1"/>
  <c r="O41" i="133" s="1"/>
  <c r="T43" i="133"/>
  <c r="S43" i="133"/>
  <c r="S42" i="133" s="1"/>
  <c r="R43" i="133"/>
  <c r="Q43" i="133"/>
  <c r="Q42" i="133" s="1"/>
  <c r="Q41" i="133" s="1"/>
  <c r="P43" i="133"/>
  <c r="N43" i="133"/>
  <c r="N42" i="133" s="1"/>
  <c r="N41" i="133" s="1"/>
  <c r="M43" i="133"/>
  <c r="L43" i="133"/>
  <c r="K43" i="133"/>
  <c r="K42" i="133" s="1"/>
  <c r="K41" i="133" s="1"/>
  <c r="J43" i="133"/>
  <c r="I43" i="133"/>
  <c r="I42" i="133" s="1"/>
  <c r="I41" i="133" s="1"/>
  <c r="H43" i="133"/>
  <c r="G43" i="133"/>
  <c r="F43" i="133"/>
  <c r="F42" i="133" s="1"/>
  <c r="F41" i="133" s="1"/>
  <c r="E43" i="133"/>
  <c r="T42" i="133"/>
  <c r="R42" i="133"/>
  <c r="P42" i="133"/>
  <c r="M42" i="133"/>
  <c r="L42" i="133"/>
  <c r="J42" i="133"/>
  <c r="H42" i="133"/>
  <c r="G42" i="133"/>
  <c r="G41" i="133" s="1"/>
  <c r="E42" i="133"/>
  <c r="T41" i="133"/>
  <c r="L41" i="133"/>
  <c r="X40" i="133"/>
  <c r="X38" i="133" s="1"/>
  <c r="W40" i="133"/>
  <c r="U40" i="133"/>
  <c r="Q40" i="133"/>
  <c r="Y40" i="133" s="1"/>
  <c r="O40" i="133"/>
  <c r="K40" i="133"/>
  <c r="X39" i="133"/>
  <c r="W39" i="133"/>
  <c r="W38" i="133" s="1"/>
  <c r="W37" i="133" s="1"/>
  <c r="Q39" i="133"/>
  <c r="U39" i="133" s="1"/>
  <c r="U38" i="133" s="1"/>
  <c r="U37" i="133" s="1"/>
  <c r="O39" i="133"/>
  <c r="K39" i="133"/>
  <c r="V38" i="133"/>
  <c r="T38" i="133"/>
  <c r="T37" i="133" s="1"/>
  <c r="T33" i="133" s="1"/>
  <c r="S38" i="133"/>
  <c r="S37" i="133" s="1"/>
  <c r="R38" i="133"/>
  <c r="P38" i="133"/>
  <c r="O38" i="133"/>
  <c r="N38" i="133"/>
  <c r="N37" i="133" s="1"/>
  <c r="M38" i="133"/>
  <c r="L38" i="133"/>
  <c r="L37" i="133" s="1"/>
  <c r="L33" i="133" s="1"/>
  <c r="K38" i="133"/>
  <c r="K37" i="133" s="1"/>
  <c r="J38" i="133"/>
  <c r="I38" i="133"/>
  <c r="H38" i="133"/>
  <c r="G38" i="133"/>
  <c r="F38" i="133"/>
  <c r="F37" i="133" s="1"/>
  <c r="E38" i="133"/>
  <c r="R37" i="133"/>
  <c r="P37" i="133"/>
  <c r="P33" i="133" s="1"/>
  <c r="O37" i="133"/>
  <c r="M37" i="133"/>
  <c r="J37" i="133"/>
  <c r="I37" i="133"/>
  <c r="H37" i="133"/>
  <c r="H33" i="133" s="1"/>
  <c r="G37" i="133"/>
  <c r="E37" i="133"/>
  <c r="X36" i="133"/>
  <c r="W36" i="133"/>
  <c r="W35" i="133" s="1"/>
  <c r="W34" i="133" s="1"/>
  <c r="W33" i="133" s="1"/>
  <c r="Q36" i="133"/>
  <c r="U36" i="133" s="1"/>
  <c r="U35" i="133" s="1"/>
  <c r="U34" i="133" s="1"/>
  <c r="U33" i="133" s="1"/>
  <c r="O36" i="133"/>
  <c r="O35" i="133" s="1"/>
  <c r="O34" i="133" s="1"/>
  <c r="O33" i="133" s="1"/>
  <c r="K36" i="133"/>
  <c r="X35" i="133"/>
  <c r="T35" i="133"/>
  <c r="S35" i="133"/>
  <c r="S34" i="133" s="1"/>
  <c r="S33" i="133" s="1"/>
  <c r="R35" i="133"/>
  <c r="R34" i="133" s="1"/>
  <c r="R33" i="133" s="1"/>
  <c r="P35" i="133"/>
  <c r="N35" i="133"/>
  <c r="M35" i="133"/>
  <c r="M34" i="133" s="1"/>
  <c r="M33" i="133" s="1"/>
  <c r="L35" i="133"/>
  <c r="K35" i="133"/>
  <c r="K34" i="133" s="1"/>
  <c r="J35" i="133"/>
  <c r="J34" i="133" s="1"/>
  <c r="J33" i="133" s="1"/>
  <c r="I35" i="133"/>
  <c r="H35" i="133"/>
  <c r="G35" i="133"/>
  <c r="F35" i="133"/>
  <c r="E35" i="133"/>
  <c r="E34" i="133" s="1"/>
  <c r="E33" i="133" s="1"/>
  <c r="X34" i="133"/>
  <c r="T34" i="133"/>
  <c r="P34" i="133"/>
  <c r="N34" i="133"/>
  <c r="N33" i="133" s="1"/>
  <c r="L34" i="133"/>
  <c r="I34" i="133"/>
  <c r="I33" i="133" s="1"/>
  <c r="H34" i="133"/>
  <c r="G34" i="133"/>
  <c r="G33" i="133" s="1"/>
  <c r="F34" i="133"/>
  <c r="F33" i="133" s="1"/>
  <c r="X31" i="133"/>
  <c r="W31" i="133"/>
  <c r="U31" i="133"/>
  <c r="Q31" i="133"/>
  <c r="O31" i="133"/>
  <c r="K31" i="133"/>
  <c r="Y31" i="133" s="1"/>
  <c r="Y30" i="133"/>
  <c r="X30" i="133"/>
  <c r="W30" i="133"/>
  <c r="W29" i="133" s="1"/>
  <c r="W28" i="133" s="1"/>
  <c r="U30" i="133"/>
  <c r="U29" i="133" s="1"/>
  <c r="U28" i="133" s="1"/>
  <c r="Q30" i="133"/>
  <c r="K30" i="133"/>
  <c r="O30" i="133" s="1"/>
  <c r="O29" i="133" s="1"/>
  <c r="O28" i="133" s="1"/>
  <c r="X29" i="133"/>
  <c r="X28" i="133" s="1"/>
  <c r="V29" i="133"/>
  <c r="T29" i="133"/>
  <c r="S29" i="133"/>
  <c r="R29" i="133"/>
  <c r="R15" i="133" s="1"/>
  <c r="Q29" i="133"/>
  <c r="P29" i="133"/>
  <c r="P28" i="133" s="1"/>
  <c r="N29" i="133"/>
  <c r="N28" i="133" s="1"/>
  <c r="N16" i="133" s="1"/>
  <c r="M29" i="133"/>
  <c r="M28" i="133" s="1"/>
  <c r="L29" i="133"/>
  <c r="J29" i="133"/>
  <c r="J15" i="133" s="1"/>
  <c r="I29" i="133"/>
  <c r="H29" i="133"/>
  <c r="H28" i="133" s="1"/>
  <c r="G29" i="133"/>
  <c r="F29" i="133"/>
  <c r="F28" i="133" s="1"/>
  <c r="F16" i="133" s="1"/>
  <c r="E29" i="133"/>
  <c r="E28" i="133" s="1"/>
  <c r="T28" i="133"/>
  <c r="S28" i="133"/>
  <c r="R28" i="133"/>
  <c r="Q28" i="133"/>
  <c r="L28" i="133"/>
  <c r="J28" i="133"/>
  <c r="I28" i="133"/>
  <c r="G28" i="133"/>
  <c r="Y27" i="133"/>
  <c r="Y26" i="133" s="1"/>
  <c r="X27" i="133"/>
  <c r="W27" i="133"/>
  <c r="W26" i="133" s="1"/>
  <c r="U27" i="133"/>
  <c r="U26" i="133" s="1"/>
  <c r="Q27" i="133"/>
  <c r="K27" i="133"/>
  <c r="K26" i="133" s="1"/>
  <c r="X26" i="133"/>
  <c r="T26" i="133"/>
  <c r="T22" i="133" s="1"/>
  <c r="S26" i="133"/>
  <c r="R26" i="133"/>
  <c r="Q26" i="133"/>
  <c r="P26" i="133"/>
  <c r="N26" i="133"/>
  <c r="M26" i="133"/>
  <c r="M22" i="133" s="1"/>
  <c r="L26" i="133"/>
  <c r="L15" i="133" s="1"/>
  <c r="J26" i="133"/>
  <c r="I26" i="133"/>
  <c r="I22" i="133" s="1"/>
  <c r="H26" i="133"/>
  <c r="G26" i="133"/>
  <c r="G15" i="133" s="1"/>
  <c r="F26" i="133"/>
  <c r="E26" i="133"/>
  <c r="E22" i="133" s="1"/>
  <c r="Y25" i="133"/>
  <c r="X25" i="133"/>
  <c r="W25" i="133"/>
  <c r="U25" i="133"/>
  <c r="Q25" i="133"/>
  <c r="O25" i="133"/>
  <c r="K25" i="133"/>
  <c r="X24" i="133"/>
  <c r="X23" i="133" s="1"/>
  <c r="X22" i="133" s="1"/>
  <c r="R24" i="133"/>
  <c r="Q24" i="133" s="1"/>
  <c r="O24" i="133"/>
  <c r="K24" i="133"/>
  <c r="T23" i="133"/>
  <c r="S23" i="133"/>
  <c r="R23" i="133"/>
  <c r="R22" i="133" s="1"/>
  <c r="P23" i="133"/>
  <c r="O23" i="133"/>
  <c r="N23" i="133"/>
  <c r="M23" i="133"/>
  <c r="L23" i="133"/>
  <c r="L22" i="133" s="1"/>
  <c r="K23" i="133"/>
  <c r="J23" i="133"/>
  <c r="J22" i="133" s="1"/>
  <c r="I23" i="133"/>
  <c r="H23" i="133"/>
  <c r="G23" i="133"/>
  <c r="G22" i="133" s="1"/>
  <c r="G16" i="133" s="1"/>
  <c r="F23" i="133"/>
  <c r="E23" i="133"/>
  <c r="S22" i="133"/>
  <c r="S16" i="133" s="1"/>
  <c r="P22" i="133"/>
  <c r="N22" i="133"/>
  <c r="H22" i="133"/>
  <c r="F22" i="133"/>
  <c r="X21" i="133"/>
  <c r="X18" i="133" s="1"/>
  <c r="W21" i="133"/>
  <c r="Q21" i="133"/>
  <c r="Q18" i="133" s="1"/>
  <c r="K21" i="133"/>
  <c r="O21" i="133" s="1"/>
  <c r="X20" i="133"/>
  <c r="W20" i="133"/>
  <c r="U20" i="133"/>
  <c r="Q20" i="133"/>
  <c r="O20" i="133"/>
  <c r="K20" i="133"/>
  <c r="Y20" i="133" s="1"/>
  <c r="Y19" i="133"/>
  <c r="X19" i="133"/>
  <c r="W19" i="133"/>
  <c r="W18" i="133" s="1"/>
  <c r="U19" i="133"/>
  <c r="Q19" i="133"/>
  <c r="K19" i="133"/>
  <c r="O19" i="133" s="1"/>
  <c r="V18" i="133"/>
  <c r="T18" i="133"/>
  <c r="S18" i="133"/>
  <c r="R18" i="133"/>
  <c r="R17" i="133" s="1"/>
  <c r="R16" i="133" s="1"/>
  <c r="P18" i="133"/>
  <c r="P14" i="133" s="1"/>
  <c r="N18" i="133"/>
  <c r="N14" i="133" s="1"/>
  <c r="M18" i="133"/>
  <c r="M17" i="133" s="1"/>
  <c r="L18" i="133"/>
  <c r="J18" i="133"/>
  <c r="J17" i="133" s="1"/>
  <c r="I18" i="133"/>
  <c r="I14" i="133" s="1"/>
  <c r="H18" i="133"/>
  <c r="H14" i="133" s="1"/>
  <c r="G18" i="133"/>
  <c r="F18" i="133"/>
  <c r="F14" i="133" s="1"/>
  <c r="E18" i="133"/>
  <c r="E17" i="133" s="1"/>
  <c r="E16" i="133" s="1"/>
  <c r="T17" i="133"/>
  <c r="S17" i="133"/>
  <c r="N17" i="133"/>
  <c r="L17" i="133"/>
  <c r="I17" i="133"/>
  <c r="I16" i="133" s="1"/>
  <c r="G17" i="133"/>
  <c r="F17" i="133"/>
  <c r="V16" i="133"/>
  <c r="V15" i="133"/>
  <c r="P15" i="133"/>
  <c r="N15" i="133"/>
  <c r="H15" i="133"/>
  <c r="F15" i="133"/>
  <c r="T14" i="133"/>
  <c r="S14" i="133"/>
  <c r="R14" i="133"/>
  <c r="L14" i="133"/>
  <c r="J14" i="133"/>
  <c r="G14" i="133"/>
  <c r="Y16" i="134" l="1"/>
  <c r="Y15" i="134" s="1"/>
  <c r="Y10" i="134" s="1"/>
  <c r="Y14" i="134"/>
  <c r="Y13" i="134" s="1"/>
  <c r="U14" i="134"/>
  <c r="U13" i="134" s="1"/>
  <c r="U16" i="134"/>
  <c r="U15" i="134" s="1"/>
  <c r="U10" i="134" s="1"/>
  <c r="O18" i="134"/>
  <c r="O17" i="134" s="1"/>
  <c r="I14" i="134"/>
  <c r="I13" i="134" s="1"/>
  <c r="Q14" i="134"/>
  <c r="Q13" i="134" s="1"/>
  <c r="K17" i="134"/>
  <c r="H14" i="134"/>
  <c r="H13" i="134" s="1"/>
  <c r="J14" i="134"/>
  <c r="J13" i="134" s="1"/>
  <c r="R14" i="134"/>
  <c r="R13" i="134" s="1"/>
  <c r="P16" i="134"/>
  <c r="P15" i="134" s="1"/>
  <c r="P10" i="134" s="1"/>
  <c r="W17" i="133"/>
  <c r="E41" i="133"/>
  <c r="E13" i="133" s="1"/>
  <c r="S10" i="133"/>
  <c r="I10" i="133"/>
  <c r="I13" i="133"/>
  <c r="F10" i="133"/>
  <c r="F13" i="133"/>
  <c r="Q23" i="133"/>
  <c r="Q22" i="133" s="1"/>
  <c r="Y24" i="133"/>
  <c r="Y23" i="133" s="1"/>
  <c r="Y22" i="133" s="1"/>
  <c r="U24" i="133"/>
  <c r="U23" i="133" s="1"/>
  <c r="U22" i="133" s="1"/>
  <c r="K22" i="133"/>
  <c r="K15" i="133"/>
  <c r="R10" i="133"/>
  <c r="R13" i="133"/>
  <c r="N10" i="133"/>
  <c r="N13" i="133"/>
  <c r="J16" i="133"/>
  <c r="X14" i="133"/>
  <c r="X17" i="133"/>
  <c r="X16" i="133" s="1"/>
  <c r="O22" i="133"/>
  <c r="K33" i="133"/>
  <c r="Q17" i="133"/>
  <c r="G13" i="133"/>
  <c r="G10" i="133"/>
  <c r="O18" i="133"/>
  <c r="U15" i="133"/>
  <c r="X33" i="133"/>
  <c r="X37" i="133"/>
  <c r="X15" i="133"/>
  <c r="M41" i="133"/>
  <c r="E10" i="133"/>
  <c r="Y18" i="133"/>
  <c r="L16" i="133"/>
  <c r="T16" i="133"/>
  <c r="M16" i="133"/>
  <c r="W15" i="133"/>
  <c r="Y29" i="133"/>
  <c r="Y28" i="133" s="1"/>
  <c r="S41" i="133"/>
  <c r="S13" i="133" s="1"/>
  <c r="S15" i="133"/>
  <c r="E14" i="133"/>
  <c r="M14" i="133"/>
  <c r="I15" i="133"/>
  <c r="K18" i="133"/>
  <c r="U21" i="133"/>
  <c r="U18" i="133" s="1"/>
  <c r="O27" i="133"/>
  <c r="O26" i="133" s="1"/>
  <c r="O15" i="133" s="1"/>
  <c r="K29" i="133"/>
  <c r="K28" i="133" s="1"/>
  <c r="Q38" i="133"/>
  <c r="Q37" i="133" s="1"/>
  <c r="Y44" i="133"/>
  <c r="Y43" i="133" s="1"/>
  <c r="Y42" i="133" s="1"/>
  <c r="Y41" i="133" s="1"/>
  <c r="Y36" i="133"/>
  <c r="Y35" i="133" s="1"/>
  <c r="Y34" i="133" s="1"/>
  <c r="Y33" i="133" s="1"/>
  <c r="Y39" i="133"/>
  <c r="Y38" i="133" s="1"/>
  <c r="Y37" i="133" s="1"/>
  <c r="H17" i="133"/>
  <c r="H16" i="133" s="1"/>
  <c r="P17" i="133"/>
  <c r="P16" i="133" s="1"/>
  <c r="W24" i="133"/>
  <c r="W23" i="133" s="1"/>
  <c r="W22" i="133" s="1"/>
  <c r="Q35" i="133"/>
  <c r="Q34" i="133" s="1"/>
  <c r="T15" i="133"/>
  <c r="Y21" i="133"/>
  <c r="E15" i="133"/>
  <c r="M15" i="133"/>
  <c r="K16" i="134" l="1"/>
  <c r="K15" i="134" s="1"/>
  <c r="K10" i="134" s="1"/>
  <c r="K14" i="134"/>
  <c r="K13" i="134" s="1"/>
  <c r="O14" i="134"/>
  <c r="O13" i="134" s="1"/>
  <c r="O16" i="134"/>
  <c r="O15" i="134" s="1"/>
  <c r="O10" i="134" s="1"/>
  <c r="U17" i="133"/>
  <c r="U16" i="133" s="1"/>
  <c r="U14" i="133"/>
  <c r="L13" i="133"/>
  <c r="L10" i="133"/>
  <c r="X13" i="133"/>
  <c r="X10" i="133"/>
  <c r="Y14" i="133"/>
  <c r="Y17" i="133"/>
  <c r="Y16" i="133" s="1"/>
  <c r="Y15" i="133"/>
  <c r="O14" i="133"/>
  <c r="O17" i="133"/>
  <c r="O16" i="133" s="1"/>
  <c r="Q33" i="133"/>
  <c r="J13" i="133"/>
  <c r="J10" i="133"/>
  <c r="Q16" i="133"/>
  <c r="W16" i="133"/>
  <c r="T13" i="133"/>
  <c r="T10" i="133"/>
  <c r="P10" i="133"/>
  <c r="P13" i="133"/>
  <c r="K14" i="133"/>
  <c r="K17" i="133"/>
  <c r="K16" i="133" s="1"/>
  <c r="Q15" i="133"/>
  <c r="Q14" i="133"/>
  <c r="W14" i="133"/>
  <c r="H10" i="133"/>
  <c r="H13" i="133"/>
  <c r="M13" i="133"/>
  <c r="M10" i="133"/>
  <c r="U13" i="133" l="1"/>
  <c r="U10" i="133"/>
  <c r="Q10" i="133"/>
  <c r="Q13" i="133"/>
  <c r="W10" i="133"/>
  <c r="W13" i="133"/>
  <c r="K10" i="133"/>
  <c r="K13" i="133"/>
  <c r="O13" i="133"/>
  <c r="O10" i="133"/>
  <c r="Y10" i="133"/>
  <c r="Y13" i="133"/>
  <c r="G24" i="121" l="1"/>
  <c r="G18" i="121"/>
  <c r="E36" i="124" l="1"/>
  <c r="E10" i="121"/>
  <c r="I48" i="121" l="1"/>
  <c r="I47" i="121"/>
  <c r="I46" i="121"/>
  <c r="I44" i="121"/>
  <c r="I43" i="121"/>
  <c r="I42" i="121"/>
  <c r="I38" i="121"/>
  <c r="I37" i="121"/>
  <c r="I39" i="121"/>
  <c r="C41" i="121"/>
  <c r="D10" i="121"/>
  <c r="E9" i="121" l="1"/>
  <c r="E18" i="121"/>
  <c r="E14" i="121"/>
  <c r="G14" i="121"/>
  <c r="G459" i="132"/>
  <c r="G792" i="132"/>
  <c r="G791" i="132" s="1"/>
  <c r="G790" i="132" s="1"/>
  <c r="G789" i="132" s="1"/>
  <c r="G788" i="132" s="1"/>
  <c r="G786" i="132"/>
  <c r="G785" i="132" s="1"/>
  <c r="G784" i="132" s="1"/>
  <c r="G783" i="132" s="1"/>
  <c r="G782" i="132" s="1"/>
  <c r="G780" i="132"/>
  <c r="G779" i="132" s="1"/>
  <c r="G775" i="132"/>
  <c r="G773" i="132"/>
  <c r="G771" i="132"/>
  <c r="G769" i="132"/>
  <c r="G766" i="132"/>
  <c r="G764" i="132"/>
  <c r="G762" i="132"/>
  <c r="G760" i="132"/>
  <c r="A4" i="132"/>
  <c r="G753" i="132"/>
  <c r="G749" i="132"/>
  <c r="G747" i="132"/>
  <c r="G744" i="132"/>
  <c r="G743" i="132" s="1"/>
  <c r="G741" i="132"/>
  <c r="G740" i="132" s="1"/>
  <c r="G735" i="132"/>
  <c r="G734" i="132" s="1"/>
  <c r="G733" i="132" s="1"/>
  <c r="G732" i="132" s="1"/>
  <c r="G731" i="132" s="1"/>
  <c r="G729" i="132"/>
  <c r="G728" i="132" s="1"/>
  <c r="G726" i="132"/>
  <c r="G724" i="132"/>
  <c r="G722" i="132"/>
  <c r="G719" i="132"/>
  <c r="G716" i="132"/>
  <c r="G709" i="132"/>
  <c r="G706" i="132"/>
  <c r="G705" i="132" s="1"/>
  <c r="G703" i="132"/>
  <c r="G700" i="132"/>
  <c r="G696" i="132"/>
  <c r="G691" i="132"/>
  <c r="G687" i="132"/>
  <c r="G684" i="132"/>
  <c r="G681" i="132"/>
  <c r="G678" i="132"/>
  <c r="G674" i="132"/>
  <c r="G671" i="132"/>
  <c r="G669" i="132"/>
  <c r="G667" i="132"/>
  <c r="G658" i="132"/>
  <c r="G656" i="132"/>
  <c r="G650" i="132"/>
  <c r="G646" i="132"/>
  <c r="G642" i="132"/>
  <c r="G639" i="132"/>
  <c r="G636" i="132"/>
  <c r="G634" i="132"/>
  <c r="G629" i="132"/>
  <c r="G623" i="132"/>
  <c r="G619" i="132"/>
  <c r="G615" i="132"/>
  <c r="G611" i="132"/>
  <c r="G606" i="132"/>
  <c r="G602" i="132"/>
  <c r="G599" i="132"/>
  <c r="G595" i="132"/>
  <c r="G593" i="132"/>
  <c r="G591" i="132"/>
  <c r="G582" i="132"/>
  <c r="G580" i="132"/>
  <c r="G578" i="132"/>
  <c r="G572" i="132"/>
  <c r="G569" i="132"/>
  <c r="G565" i="132"/>
  <c r="G562" i="132"/>
  <c r="G558" i="132"/>
  <c r="G556" i="132"/>
  <c r="G552" i="132"/>
  <c r="G547" i="132"/>
  <c r="G541" i="132"/>
  <c r="G534" i="132"/>
  <c r="G527" i="132"/>
  <c r="G523" i="132"/>
  <c r="G517" i="132"/>
  <c r="G513" i="132"/>
  <c r="G510" i="132"/>
  <c r="G505" i="132"/>
  <c r="G503" i="132"/>
  <c r="G499" i="132"/>
  <c r="G487" i="132"/>
  <c r="G485" i="132"/>
  <c r="G483" i="132"/>
  <c r="G477" i="132"/>
  <c r="G476" i="132" s="1"/>
  <c r="G475" i="132" s="1"/>
  <c r="G473" i="132"/>
  <c r="G472" i="132" s="1"/>
  <c r="G470" i="132"/>
  <c r="G467" i="132"/>
  <c r="G460" i="132"/>
  <c r="G456" i="132"/>
  <c r="G455" i="132" s="1"/>
  <c r="G454" i="132" s="1"/>
  <c r="G450" i="132"/>
  <c r="G447" i="132"/>
  <c r="G445" i="132"/>
  <c r="G443" i="132"/>
  <c r="G437" i="132"/>
  <c r="G436" i="132" s="1"/>
  <c r="G435" i="132" s="1"/>
  <c r="G434" i="132" s="1"/>
  <c r="G433" i="132" s="1"/>
  <c r="G430" i="132"/>
  <c r="G428" i="132"/>
  <c r="G422" i="132"/>
  <c r="G421" i="132" s="1"/>
  <c r="G420" i="132" s="1"/>
  <c r="G419" i="132" s="1"/>
  <c r="G418" i="132" s="1"/>
  <c r="G416" i="132"/>
  <c r="G415" i="132" s="1"/>
  <c r="G414" i="132" s="1"/>
  <c r="G413" i="132" s="1"/>
  <c r="G412" i="132" s="1"/>
  <c r="G410" i="132"/>
  <c r="G409" i="132" s="1"/>
  <c r="G406" i="132"/>
  <c r="G403" i="132"/>
  <c r="G397" i="132"/>
  <c r="G395" i="132"/>
  <c r="G392" i="132"/>
  <c r="G390" i="132"/>
  <c r="G387" i="132"/>
  <c r="G386" i="132" s="1"/>
  <c r="G381" i="132"/>
  <c r="G380" i="132" s="1"/>
  <c r="G377" i="132"/>
  <c r="G375" i="132"/>
  <c r="G372" i="132"/>
  <c r="G368" i="132"/>
  <c r="G366" i="132"/>
  <c r="G364" i="132"/>
  <c r="G357" i="132"/>
  <c r="G356" i="132" s="1"/>
  <c r="G354" i="132"/>
  <c r="G352" i="132"/>
  <c r="G350" i="132"/>
  <c r="G348" i="132"/>
  <c r="G344" i="132"/>
  <c r="G340" i="132"/>
  <c r="G338" i="132"/>
  <c r="G335" i="132"/>
  <c r="G333" i="132"/>
  <c r="G329" i="132"/>
  <c r="G327" i="132"/>
  <c r="G318" i="132"/>
  <c r="G316" i="132"/>
  <c r="G309" i="132"/>
  <c r="G305" i="132"/>
  <c r="G303" i="132"/>
  <c r="G297" i="132"/>
  <c r="G295" i="132"/>
  <c r="G293" i="132"/>
  <c r="G286" i="132"/>
  <c r="G285" i="132" s="1"/>
  <c r="G282" i="132"/>
  <c r="G279" i="132"/>
  <c r="G275" i="132"/>
  <c r="G272" i="132"/>
  <c r="G267" i="132"/>
  <c r="G265" i="132"/>
  <c r="G260" i="132"/>
  <c r="G255" i="132"/>
  <c r="G250" i="132"/>
  <c r="G246" i="132"/>
  <c r="G241" i="132"/>
  <c r="G239" i="132"/>
  <c r="G236" i="132"/>
  <c r="G232" i="132"/>
  <c r="G224" i="132"/>
  <c r="G222" i="132"/>
  <c r="G220" i="132"/>
  <c r="G210" i="132"/>
  <c r="G209" i="132" s="1"/>
  <c r="G204" i="132"/>
  <c r="G201" i="132"/>
  <c r="G195" i="132"/>
  <c r="G191" i="132"/>
  <c r="G186" i="132"/>
  <c r="G182" i="132"/>
  <c r="G177" i="132"/>
  <c r="G172" i="132"/>
  <c r="G167" i="132"/>
  <c r="G163" i="132"/>
  <c r="G158" i="132"/>
  <c r="G156" i="132"/>
  <c r="G152" i="132"/>
  <c r="G148" i="132"/>
  <c r="G140" i="132"/>
  <c r="G138" i="132"/>
  <c r="G136" i="132"/>
  <c r="G128" i="132"/>
  <c r="G126" i="132"/>
  <c r="G124" i="132"/>
  <c r="G117" i="132"/>
  <c r="G116" i="132" s="1"/>
  <c r="G113" i="132"/>
  <c r="G107" i="132"/>
  <c r="G104" i="132"/>
  <c r="G99" i="132"/>
  <c r="G95" i="132"/>
  <c r="G90" i="132"/>
  <c r="G85" i="132"/>
  <c r="G80" i="132"/>
  <c r="G76" i="132"/>
  <c r="G71" i="132"/>
  <c r="G69" i="132"/>
  <c r="G66" i="132"/>
  <c r="G62" i="132"/>
  <c r="G55" i="132"/>
  <c r="G53" i="132"/>
  <c r="G51" i="132"/>
  <c r="G45" i="132"/>
  <c r="G44" i="132" s="1"/>
  <c r="G41" i="132"/>
  <c r="G40" i="132" s="1"/>
  <c r="G39" i="132" s="1"/>
  <c r="G38" i="132" s="1"/>
  <c r="G37" i="132" s="1"/>
  <c r="G35" i="132"/>
  <c r="G34" i="132" s="1"/>
  <c r="G32" i="132"/>
  <c r="G30" i="132"/>
  <c r="G28" i="132"/>
  <c r="G26" i="132"/>
  <c r="G23" i="132"/>
  <c r="G19" i="132"/>
  <c r="G16" i="132"/>
  <c r="G13" i="132"/>
  <c r="G798" i="132"/>
  <c r="G797" i="132" s="1"/>
  <c r="G796" i="132" s="1"/>
  <c r="G795" i="132" s="1"/>
  <c r="G794" i="132" s="1"/>
  <c r="G808" i="132"/>
  <c r="G807" i="132" s="1"/>
  <c r="G806" i="132" s="1"/>
  <c r="G805" i="132" s="1"/>
  <c r="G804" i="132" s="1"/>
  <c r="G715" i="132" l="1"/>
  <c r="G458" i="132"/>
  <c r="G453" i="132" s="1"/>
  <c r="G452" i="132" s="1"/>
  <c r="G79" i="132"/>
  <c r="G49" i="132" s="1"/>
  <c r="G48" i="132" s="1"/>
  <c r="G768" i="132"/>
  <c r="G759" i="132"/>
  <c r="G746" i="132"/>
  <c r="G739" i="132" s="1"/>
  <c r="G738" i="132" s="1"/>
  <c r="G737" i="132" s="1"/>
  <c r="G721" i="132"/>
  <c r="G677" i="132"/>
  <c r="G655" i="132"/>
  <c r="G654" i="132" s="1"/>
  <c r="G641" i="132"/>
  <c r="G605" i="132"/>
  <c r="G577" i="132"/>
  <c r="G564" i="132"/>
  <c r="G516" i="132"/>
  <c r="G482" i="132"/>
  <c r="G466" i="132"/>
  <c r="G465" i="132" s="1"/>
  <c r="G464" i="132" s="1"/>
  <c r="G463" i="132" s="1"/>
  <c r="G442" i="132"/>
  <c r="G441" i="132" s="1"/>
  <c r="G440" i="132" s="1"/>
  <c r="G439" i="132" s="1"/>
  <c r="G427" i="132"/>
  <c r="G426" i="132" s="1"/>
  <c r="G425" i="132" s="1"/>
  <c r="G424" i="132" s="1"/>
  <c r="G402" i="132"/>
  <c r="G401" i="132" s="1"/>
  <c r="G400" i="132" s="1"/>
  <c r="G399" i="132" s="1"/>
  <c r="G389" i="132"/>
  <c r="G385" i="132" s="1"/>
  <c r="G384" i="132" s="1"/>
  <c r="G383" i="132" s="1"/>
  <c r="G363" i="132"/>
  <c r="G362" i="132" s="1"/>
  <c r="G361" i="132" s="1"/>
  <c r="G360" i="132" s="1"/>
  <c r="G337" i="132"/>
  <c r="G315" i="132"/>
  <c r="G302" i="132"/>
  <c r="G301" i="132" s="1"/>
  <c r="G300" i="132" s="1"/>
  <c r="G299" i="132" s="1"/>
  <c r="G292" i="132"/>
  <c r="G291" i="132" s="1"/>
  <c r="G249" i="132"/>
  <c r="G219" i="132"/>
  <c r="G135" i="132"/>
  <c r="G123" i="132"/>
  <c r="G122" i="132" s="1"/>
  <c r="G50" i="132"/>
  <c r="G22" i="132"/>
  <c r="G12" i="132"/>
  <c r="H12" i="58"/>
  <c r="H10" i="58"/>
  <c r="AA14" i="89"/>
  <c r="AA13" i="89"/>
  <c r="AA12" i="89" s="1"/>
  <c r="AA11" i="89" s="1"/>
  <c r="AA10" i="89" s="1"/>
  <c r="H13" i="89"/>
  <c r="I13" i="89"/>
  <c r="J13" i="89"/>
  <c r="K13" i="89"/>
  <c r="L13" i="89"/>
  <c r="M13" i="89"/>
  <c r="N13" i="89"/>
  <c r="O13" i="89"/>
  <c r="P13" i="89"/>
  <c r="Q13" i="89"/>
  <c r="R13" i="89"/>
  <c r="S13" i="89"/>
  <c r="T13" i="89"/>
  <c r="U13" i="89"/>
  <c r="V13" i="89"/>
  <c r="W13" i="89"/>
  <c r="X13" i="89"/>
  <c r="Y13" i="89"/>
  <c r="Z13" i="89"/>
  <c r="AB13" i="89"/>
  <c r="AC13" i="89"/>
  <c r="AD13" i="89"/>
  <c r="G13" i="89"/>
  <c r="BJ16" i="89"/>
  <c r="BG16" i="89"/>
  <c r="AA16" i="89"/>
  <c r="W16" i="89"/>
  <c r="R16" i="89"/>
  <c r="M16" i="89"/>
  <c r="G16" i="89"/>
  <c r="C13" i="79"/>
  <c r="E37" i="78"/>
  <c r="E36" i="78"/>
  <c r="E25" i="78"/>
  <c r="E26" i="78"/>
  <c r="E28" i="78"/>
  <c r="E23" i="78"/>
  <c r="E22" i="78"/>
  <c r="D19" i="76"/>
  <c r="G714" i="132" l="1"/>
  <c r="G713" i="132" s="1"/>
  <c r="G712" i="132" s="1"/>
  <c r="G11" i="132"/>
  <c r="G10" i="132" s="1"/>
  <c r="G9" i="132" s="1"/>
  <c r="G576" i="132"/>
  <c r="G575" i="132" s="1"/>
  <c r="G574" i="132" s="1"/>
  <c r="G758" i="132"/>
  <c r="G757" i="132" s="1"/>
  <c r="G756" i="132" s="1"/>
  <c r="G653" i="132"/>
  <c r="G652" i="132" s="1"/>
  <c r="G481" i="132"/>
  <c r="G480" i="132" s="1"/>
  <c r="G479" i="132" s="1"/>
  <c r="G314" i="132"/>
  <c r="G313" i="132" s="1"/>
  <c r="G312" i="132" s="1"/>
  <c r="G218" i="132"/>
  <c r="G217" i="132" s="1"/>
  <c r="G216" i="132" s="1"/>
  <c r="G47" i="132"/>
  <c r="BF16" i="89"/>
  <c r="F9" i="121" l="1"/>
  <c r="I18" i="121"/>
  <c r="X45" i="123"/>
  <c r="W45" i="123"/>
  <c r="W44" i="123" s="1"/>
  <c r="W43" i="123" s="1"/>
  <c r="U45" i="123"/>
  <c r="K45" i="123"/>
  <c r="Y45" i="123" s="1"/>
  <c r="Y44" i="123" s="1"/>
  <c r="Y43" i="123" s="1"/>
  <c r="X44" i="123"/>
  <c r="X43" i="123" s="1"/>
  <c r="U44" i="123"/>
  <c r="T44" i="123"/>
  <c r="S44" i="123"/>
  <c r="R44" i="123"/>
  <c r="R43" i="123" s="1"/>
  <c r="Q44" i="123"/>
  <c r="Q43" i="123" s="1"/>
  <c r="P44" i="123"/>
  <c r="P43" i="123" s="1"/>
  <c r="N44" i="123"/>
  <c r="M44" i="123"/>
  <c r="L44" i="123"/>
  <c r="J44" i="123"/>
  <c r="J43" i="123" s="1"/>
  <c r="I44" i="123"/>
  <c r="I43" i="123" s="1"/>
  <c r="H44" i="123"/>
  <c r="H43" i="123" s="1"/>
  <c r="G44" i="123"/>
  <c r="G43" i="123" s="1"/>
  <c r="F44" i="123"/>
  <c r="E44" i="123"/>
  <c r="U43" i="123"/>
  <c r="T43" i="123"/>
  <c r="S43" i="123"/>
  <c r="N43" i="123"/>
  <c r="M43" i="123"/>
  <c r="L43" i="123"/>
  <c r="F43" i="123"/>
  <c r="E43" i="123"/>
  <c r="Y42" i="123"/>
  <c r="Y41" i="123" s="1"/>
  <c r="Y40" i="123" s="1"/>
  <c r="Y39" i="123" s="1"/>
  <c r="X42" i="123"/>
  <c r="X41" i="123" s="1"/>
  <c r="X40" i="123" s="1"/>
  <c r="X39" i="123" s="1"/>
  <c r="W42" i="123"/>
  <c r="U42" i="123"/>
  <c r="O42" i="123"/>
  <c r="K42" i="123"/>
  <c r="K41" i="123" s="1"/>
  <c r="K40" i="123" s="1"/>
  <c r="W41" i="123"/>
  <c r="W40" i="123" s="1"/>
  <c r="W39" i="123" s="1"/>
  <c r="U41" i="123"/>
  <c r="U40" i="123" s="1"/>
  <c r="U39" i="123" s="1"/>
  <c r="T41" i="123"/>
  <c r="S41" i="123"/>
  <c r="R41" i="123"/>
  <c r="Q41" i="123"/>
  <c r="P41" i="123"/>
  <c r="P40" i="123" s="1"/>
  <c r="P39" i="123" s="1"/>
  <c r="O41" i="123"/>
  <c r="O40" i="123" s="1"/>
  <c r="N41" i="123"/>
  <c r="N40" i="123" s="1"/>
  <c r="N39" i="123" s="1"/>
  <c r="M41" i="123"/>
  <c r="M14" i="123" s="1"/>
  <c r="L41" i="123"/>
  <c r="J41" i="123"/>
  <c r="I41" i="123"/>
  <c r="H41" i="123"/>
  <c r="H40" i="123" s="1"/>
  <c r="H39" i="123" s="1"/>
  <c r="G41" i="123"/>
  <c r="G40" i="123" s="1"/>
  <c r="G39" i="123" s="1"/>
  <c r="F41" i="123"/>
  <c r="F40" i="123" s="1"/>
  <c r="F39" i="123" s="1"/>
  <c r="E41" i="123"/>
  <c r="E14" i="123" s="1"/>
  <c r="T40" i="123"/>
  <c r="T39" i="123" s="1"/>
  <c r="S40" i="123"/>
  <c r="R40" i="123"/>
  <c r="R39" i="123" s="1"/>
  <c r="Q40" i="123"/>
  <c r="Q39" i="123" s="1"/>
  <c r="L40" i="123"/>
  <c r="L39" i="123" s="1"/>
  <c r="J40" i="123"/>
  <c r="I40" i="123"/>
  <c r="X38" i="123"/>
  <c r="W38" i="123"/>
  <c r="W36" i="123" s="1"/>
  <c r="W35" i="123" s="1"/>
  <c r="Q38" i="123"/>
  <c r="U38" i="123" s="1"/>
  <c r="U36" i="123" s="1"/>
  <c r="U35" i="123" s="1"/>
  <c r="K38" i="123"/>
  <c r="Y38" i="123" s="1"/>
  <c r="Y37" i="123"/>
  <c r="Y36" i="123" s="1"/>
  <c r="Y35" i="123" s="1"/>
  <c r="X37" i="123"/>
  <c r="W37" i="123"/>
  <c r="U37" i="123"/>
  <c r="Q37" i="123"/>
  <c r="K37" i="123"/>
  <c r="O37" i="123" s="1"/>
  <c r="X36" i="123"/>
  <c r="X35" i="123" s="1"/>
  <c r="X31" i="123" s="1"/>
  <c r="V36" i="123"/>
  <c r="T36" i="123"/>
  <c r="S36" i="123"/>
  <c r="S35" i="123" s="1"/>
  <c r="R36" i="123"/>
  <c r="R35" i="123" s="1"/>
  <c r="Q36" i="123"/>
  <c r="Q35" i="123" s="1"/>
  <c r="P36" i="123"/>
  <c r="P35" i="123" s="1"/>
  <c r="N36" i="123"/>
  <c r="M36" i="123"/>
  <c r="L36" i="123"/>
  <c r="J36" i="123"/>
  <c r="J35" i="123" s="1"/>
  <c r="I36" i="123"/>
  <c r="I35" i="123" s="1"/>
  <c r="H36" i="123"/>
  <c r="H35" i="123" s="1"/>
  <c r="G36" i="123"/>
  <c r="F36" i="123"/>
  <c r="E36" i="123"/>
  <c r="T35" i="123"/>
  <c r="N35" i="123"/>
  <c r="M35" i="123"/>
  <c r="L35" i="123"/>
  <c r="G35" i="123"/>
  <c r="F35" i="123"/>
  <c r="E35" i="123"/>
  <c r="Y34" i="123"/>
  <c r="Y33" i="123" s="1"/>
  <c r="Y32" i="123" s="1"/>
  <c r="X34" i="123"/>
  <c r="W34" i="123"/>
  <c r="U34" i="123"/>
  <c r="U33" i="123" s="1"/>
  <c r="U32" i="123" s="1"/>
  <c r="U31" i="123" s="1"/>
  <c r="Q34" i="123"/>
  <c r="K34" i="123"/>
  <c r="K33" i="123" s="1"/>
  <c r="X33" i="123"/>
  <c r="X32" i="123" s="1"/>
  <c r="W33" i="123"/>
  <c r="T33" i="123"/>
  <c r="S33" i="123"/>
  <c r="R33" i="123"/>
  <c r="R32" i="123" s="1"/>
  <c r="R31" i="123" s="1"/>
  <c r="Q33" i="123"/>
  <c r="Q32" i="123" s="1"/>
  <c r="Q31" i="123" s="1"/>
  <c r="P33" i="123"/>
  <c r="P32" i="123" s="1"/>
  <c r="N33" i="123"/>
  <c r="M33" i="123"/>
  <c r="L33" i="123"/>
  <c r="J33" i="123"/>
  <c r="J32" i="123" s="1"/>
  <c r="I33" i="123"/>
  <c r="I32" i="123" s="1"/>
  <c r="I31" i="123" s="1"/>
  <c r="H33" i="123"/>
  <c r="H32" i="123" s="1"/>
  <c r="H31" i="123" s="1"/>
  <c r="H12" i="123" s="1"/>
  <c r="G33" i="123"/>
  <c r="G32" i="123" s="1"/>
  <c r="F33" i="123"/>
  <c r="E33" i="123"/>
  <c r="W32" i="123"/>
  <c r="W31" i="123" s="1"/>
  <c r="T32" i="123"/>
  <c r="S32" i="123"/>
  <c r="S31" i="123" s="1"/>
  <c r="N32" i="123"/>
  <c r="N31" i="123" s="1"/>
  <c r="M32" i="123"/>
  <c r="M31" i="123" s="1"/>
  <c r="L32" i="123"/>
  <c r="L31" i="123" s="1"/>
  <c r="K32" i="123"/>
  <c r="F32" i="123"/>
  <c r="F31" i="123" s="1"/>
  <c r="E32" i="123"/>
  <c r="E31" i="123" s="1"/>
  <c r="G31" i="123"/>
  <c r="X30" i="123"/>
  <c r="W30" i="123"/>
  <c r="W28" i="123" s="1"/>
  <c r="Q30" i="123"/>
  <c r="Y30" i="123" s="1"/>
  <c r="O30" i="123"/>
  <c r="K30" i="123"/>
  <c r="X29" i="123"/>
  <c r="X28" i="123" s="1"/>
  <c r="X27" i="123" s="1"/>
  <c r="W29" i="123"/>
  <c r="Q29" i="123"/>
  <c r="Q28" i="123" s="1"/>
  <c r="Q27" i="123" s="1"/>
  <c r="K29" i="123"/>
  <c r="V28" i="123"/>
  <c r="T28" i="123"/>
  <c r="T27" i="123" s="1"/>
  <c r="S28" i="123"/>
  <c r="S27" i="123" s="1"/>
  <c r="R28" i="123"/>
  <c r="R27" i="123" s="1"/>
  <c r="P28" i="123"/>
  <c r="N28" i="123"/>
  <c r="M28" i="123"/>
  <c r="M27" i="123" s="1"/>
  <c r="L28" i="123"/>
  <c r="L27" i="123" s="1"/>
  <c r="J28" i="123"/>
  <c r="J27" i="123" s="1"/>
  <c r="I28" i="123"/>
  <c r="H28" i="123"/>
  <c r="G28" i="123"/>
  <c r="G14" i="123" s="1"/>
  <c r="F28" i="123"/>
  <c r="E28" i="123"/>
  <c r="E27" i="123" s="1"/>
  <c r="W27" i="123"/>
  <c r="P27" i="123"/>
  <c r="N27" i="123"/>
  <c r="I27" i="123"/>
  <c r="H27" i="123"/>
  <c r="G27" i="123"/>
  <c r="F27" i="123"/>
  <c r="X26" i="123"/>
  <c r="X25" i="123" s="1"/>
  <c r="W26" i="123"/>
  <c r="Q26" i="123"/>
  <c r="U26" i="123" s="1"/>
  <c r="U25" i="123" s="1"/>
  <c r="K26" i="123"/>
  <c r="W25" i="123"/>
  <c r="W14" i="123" s="1"/>
  <c r="T25" i="123"/>
  <c r="T14" i="123" s="1"/>
  <c r="S25" i="123"/>
  <c r="R25" i="123"/>
  <c r="R14" i="123" s="1"/>
  <c r="Q25" i="123"/>
  <c r="P25" i="123"/>
  <c r="N25" i="123"/>
  <c r="N14" i="123" s="1"/>
  <c r="M25" i="123"/>
  <c r="L25" i="123"/>
  <c r="L14" i="123" s="1"/>
  <c r="J25" i="123"/>
  <c r="J21" i="123" s="1"/>
  <c r="I25" i="123"/>
  <c r="H25" i="123"/>
  <c r="G25" i="123"/>
  <c r="F25" i="123"/>
  <c r="F14" i="123" s="1"/>
  <c r="E25" i="123"/>
  <c r="Y24" i="123"/>
  <c r="X24" i="123"/>
  <c r="W24" i="123"/>
  <c r="U24" i="123"/>
  <c r="Q24" i="123"/>
  <c r="K24" i="123"/>
  <c r="O24" i="123" s="1"/>
  <c r="X23" i="123"/>
  <c r="X22" i="123" s="1"/>
  <c r="X21" i="123" s="1"/>
  <c r="R23" i="123"/>
  <c r="K23" i="123"/>
  <c r="K22" i="123" s="1"/>
  <c r="T22" i="123"/>
  <c r="T21" i="123" s="1"/>
  <c r="S22" i="123"/>
  <c r="P22" i="123"/>
  <c r="N22" i="123"/>
  <c r="N21" i="123" s="1"/>
  <c r="M22" i="123"/>
  <c r="M21" i="123" s="1"/>
  <c r="L22" i="123"/>
  <c r="L21" i="123" s="1"/>
  <c r="J22" i="123"/>
  <c r="I22" i="123"/>
  <c r="H22" i="123"/>
  <c r="G22" i="123"/>
  <c r="G21" i="123" s="1"/>
  <c r="F22" i="123"/>
  <c r="F21" i="123" s="1"/>
  <c r="E22" i="123"/>
  <c r="E21" i="123" s="1"/>
  <c r="S21" i="123"/>
  <c r="P21" i="123"/>
  <c r="H21" i="123"/>
  <c r="X20" i="123"/>
  <c r="W20" i="123"/>
  <c r="Q20" i="123"/>
  <c r="K20" i="123"/>
  <c r="O20" i="123" s="1"/>
  <c r="X19" i="123"/>
  <c r="W19" i="123"/>
  <c r="W17" i="123" s="1"/>
  <c r="Q19" i="123"/>
  <c r="Y19" i="123" s="1"/>
  <c r="O19" i="123"/>
  <c r="K19" i="123"/>
  <c r="X18" i="123"/>
  <c r="X17" i="123" s="1"/>
  <c r="W18" i="123"/>
  <c r="Q18" i="123"/>
  <c r="Q17" i="123" s="1"/>
  <c r="K18" i="123"/>
  <c r="V17" i="123"/>
  <c r="T17" i="123"/>
  <c r="T16" i="123" s="1"/>
  <c r="T15" i="123" s="1"/>
  <c r="S17" i="123"/>
  <c r="S13" i="123" s="1"/>
  <c r="R17" i="123"/>
  <c r="P17" i="123"/>
  <c r="N17" i="123"/>
  <c r="M17" i="123"/>
  <c r="M16" i="123" s="1"/>
  <c r="L17" i="123"/>
  <c r="L16" i="123" s="1"/>
  <c r="J17" i="123"/>
  <c r="I17" i="123"/>
  <c r="H17" i="123"/>
  <c r="G17" i="123"/>
  <c r="F17" i="123"/>
  <c r="E17" i="123"/>
  <c r="E16" i="123" s="1"/>
  <c r="P16" i="123"/>
  <c r="N16" i="123"/>
  <c r="N15" i="123" s="1"/>
  <c r="I16" i="123"/>
  <c r="H16" i="123"/>
  <c r="H15" i="123" s="1"/>
  <c r="G16" i="123"/>
  <c r="G15" i="123" s="1"/>
  <c r="F16" i="123"/>
  <c r="F15" i="123" s="1"/>
  <c r="V15" i="123"/>
  <c r="X14" i="123"/>
  <c r="V14" i="123"/>
  <c r="P14" i="123"/>
  <c r="H14" i="123"/>
  <c r="T13" i="123"/>
  <c r="P13" i="123"/>
  <c r="N13" i="123"/>
  <c r="M13" i="123"/>
  <c r="L13" i="123"/>
  <c r="I13" i="123"/>
  <c r="H13" i="123"/>
  <c r="G13" i="123"/>
  <c r="F13" i="123"/>
  <c r="E13" i="123"/>
  <c r="H18" i="121" l="1"/>
  <c r="P15" i="123"/>
  <c r="M15" i="123"/>
  <c r="Q16" i="123"/>
  <c r="T31" i="123"/>
  <c r="T9" i="123" s="1"/>
  <c r="Y31" i="123"/>
  <c r="O36" i="123"/>
  <c r="O35" i="123" s="1"/>
  <c r="Q23" i="123"/>
  <c r="R22" i="123"/>
  <c r="R21" i="123" s="1"/>
  <c r="W23" i="123"/>
  <c r="W22" i="123" s="1"/>
  <c r="W21" i="123" s="1"/>
  <c r="O18" i="123"/>
  <c r="O17" i="123" s="1"/>
  <c r="Y18" i="123"/>
  <c r="Y17" i="123" s="1"/>
  <c r="K17" i="123"/>
  <c r="Q14" i="123"/>
  <c r="E15" i="123"/>
  <c r="Y20" i="123"/>
  <c r="U20" i="123"/>
  <c r="I21" i="123"/>
  <c r="I14" i="123"/>
  <c r="Y29" i="123"/>
  <c r="Y28" i="123" s="1"/>
  <c r="Y27" i="123" s="1"/>
  <c r="O29" i="123"/>
  <c r="O28" i="123" s="1"/>
  <c r="O27" i="123" s="1"/>
  <c r="K28" i="123"/>
  <c r="K27" i="123" s="1"/>
  <c r="N12" i="123"/>
  <c r="N9" i="123"/>
  <c r="F12" i="123"/>
  <c r="F9" i="123"/>
  <c r="X13" i="123"/>
  <c r="X16" i="123"/>
  <c r="X15" i="123" s="1"/>
  <c r="I39" i="123"/>
  <c r="O39" i="123"/>
  <c r="J13" i="123"/>
  <c r="J16" i="123"/>
  <c r="J15" i="123" s="1"/>
  <c r="J31" i="123"/>
  <c r="W16" i="123"/>
  <c r="W15" i="123" s="1"/>
  <c r="G12" i="123"/>
  <c r="G9" i="123"/>
  <c r="R13" i="123"/>
  <c r="R16" i="123"/>
  <c r="J39" i="123"/>
  <c r="I15" i="123"/>
  <c r="L15" i="123"/>
  <c r="S39" i="123"/>
  <c r="H9" i="123"/>
  <c r="O26" i="123"/>
  <c r="O25" i="123" s="1"/>
  <c r="Y26" i="123"/>
  <c r="Y25" i="123" s="1"/>
  <c r="K25" i="123"/>
  <c r="P31" i="123"/>
  <c r="J14" i="123"/>
  <c r="U19" i="123"/>
  <c r="U30" i="123"/>
  <c r="O38" i="123"/>
  <c r="U29" i="123"/>
  <c r="O34" i="123"/>
  <c r="O33" i="123" s="1"/>
  <c r="O32" i="123" s="1"/>
  <c r="K36" i="123"/>
  <c r="K35" i="123" s="1"/>
  <c r="K31" i="123" s="1"/>
  <c r="O45" i="123"/>
  <c r="O44" i="123" s="1"/>
  <c r="O43" i="123" s="1"/>
  <c r="Y23" i="123"/>
  <c r="Y22" i="123" s="1"/>
  <c r="Y21" i="123" s="1"/>
  <c r="E40" i="123"/>
  <c r="E39" i="123" s="1"/>
  <c r="M40" i="123"/>
  <c r="M39" i="123" s="1"/>
  <c r="K44" i="123"/>
  <c r="K43" i="123" s="1"/>
  <c r="K39" i="123" s="1"/>
  <c r="U18" i="123"/>
  <c r="O23" i="123"/>
  <c r="O22" i="123" s="1"/>
  <c r="O21" i="123" s="1"/>
  <c r="S14" i="123"/>
  <c r="S16" i="123"/>
  <c r="S15" i="123" s="1"/>
  <c r="C13" i="121"/>
  <c r="D13" i="121"/>
  <c r="D12" i="121" s="1"/>
  <c r="G48" i="121"/>
  <c r="E48" i="121" s="1"/>
  <c r="E50" i="121"/>
  <c r="E51" i="121"/>
  <c r="E52" i="121"/>
  <c r="E40" i="121"/>
  <c r="E41" i="121"/>
  <c r="E45" i="121"/>
  <c r="F36" i="121"/>
  <c r="G46" i="121"/>
  <c r="E46" i="121" s="1"/>
  <c r="K13" i="123" l="1"/>
  <c r="K16" i="123"/>
  <c r="X12" i="123"/>
  <c r="X9" i="123"/>
  <c r="Y13" i="123"/>
  <c r="Y16" i="123"/>
  <c r="Y15" i="123" s="1"/>
  <c r="S9" i="123"/>
  <c r="S12" i="123"/>
  <c r="W9" i="123"/>
  <c r="W12" i="123"/>
  <c r="O13" i="123"/>
  <c r="O16" i="123"/>
  <c r="O15" i="123" s="1"/>
  <c r="L12" i="123"/>
  <c r="L9" i="123"/>
  <c r="K14" i="123"/>
  <c r="I9" i="123"/>
  <c r="I12" i="123"/>
  <c r="O31" i="123"/>
  <c r="J9" i="123"/>
  <c r="J12" i="123"/>
  <c r="M12" i="123"/>
  <c r="M9" i="123"/>
  <c r="U17" i="123"/>
  <c r="O14" i="123"/>
  <c r="U23" i="123"/>
  <c r="U22" i="123" s="1"/>
  <c r="U21" i="123" s="1"/>
  <c r="Q22" i="123"/>
  <c r="P9" i="123"/>
  <c r="P12" i="123"/>
  <c r="Y14" i="123"/>
  <c r="U28" i="123"/>
  <c r="K21" i="123"/>
  <c r="R15" i="123"/>
  <c r="E12" i="123"/>
  <c r="E9" i="123"/>
  <c r="T12" i="123"/>
  <c r="W13" i="123"/>
  <c r="G31" i="121"/>
  <c r="E31" i="121" s="1"/>
  <c r="G16" i="121"/>
  <c r="E27" i="121"/>
  <c r="G26" i="121"/>
  <c r="F26" i="121"/>
  <c r="F25" i="121" s="1"/>
  <c r="F22" i="121"/>
  <c r="G23" i="121"/>
  <c r="G22" i="121" s="1"/>
  <c r="E24" i="121"/>
  <c r="F16" i="121"/>
  <c r="E15" i="121"/>
  <c r="F13" i="121"/>
  <c r="F12" i="121" s="1"/>
  <c r="G13" i="121"/>
  <c r="G12" i="121" s="1"/>
  <c r="F29" i="121"/>
  <c r="F10" i="121" s="1"/>
  <c r="E21" i="121"/>
  <c r="G20" i="121"/>
  <c r="F20" i="121"/>
  <c r="D19" i="121"/>
  <c r="C19" i="121"/>
  <c r="D16" i="121"/>
  <c r="C16" i="121"/>
  <c r="C12" i="121"/>
  <c r="C11" i="121" s="1"/>
  <c r="J9" i="68"/>
  <c r="J10" i="68"/>
  <c r="J33" i="68"/>
  <c r="J48" i="68"/>
  <c r="J49" i="68"/>
  <c r="J50" i="68"/>
  <c r="J51" i="68"/>
  <c r="J52" i="68"/>
  <c r="J53" i="68"/>
  <c r="J54" i="68"/>
  <c r="J58" i="68"/>
  <c r="J59" i="68"/>
  <c r="J60" i="68"/>
  <c r="J61" i="68"/>
  <c r="J62" i="68"/>
  <c r="J63" i="68"/>
  <c r="J64" i="68"/>
  <c r="J65" i="68"/>
  <c r="J66" i="68"/>
  <c r="J67" i="68"/>
  <c r="J68" i="68"/>
  <c r="J69" i="68"/>
  <c r="J70" i="68"/>
  <c r="J71" i="68"/>
  <c r="J72" i="68"/>
  <c r="J73" i="68"/>
  <c r="J74" i="68"/>
  <c r="J8" i="68"/>
  <c r="I8" i="68"/>
  <c r="I9" i="68"/>
  <c r="I10" i="68"/>
  <c r="I11" i="68"/>
  <c r="I12" i="68"/>
  <c r="I13" i="68"/>
  <c r="I14" i="68"/>
  <c r="I15" i="68"/>
  <c r="I16" i="68"/>
  <c r="I17" i="68"/>
  <c r="I18" i="68"/>
  <c r="I19" i="68"/>
  <c r="I20" i="68"/>
  <c r="I21" i="68"/>
  <c r="I22" i="68"/>
  <c r="I23" i="68"/>
  <c r="I24" i="68"/>
  <c r="I25" i="68"/>
  <c r="I26" i="68"/>
  <c r="I27" i="68"/>
  <c r="I28" i="68"/>
  <c r="I29" i="68"/>
  <c r="I30" i="68"/>
  <c r="I31" i="68"/>
  <c r="I32" i="68"/>
  <c r="I33" i="68"/>
  <c r="I34" i="68"/>
  <c r="I35" i="68"/>
  <c r="I36" i="68"/>
  <c r="I37" i="68"/>
  <c r="I38" i="68"/>
  <c r="I39" i="68"/>
  <c r="I40" i="68"/>
  <c r="I41" i="68"/>
  <c r="I42" i="68"/>
  <c r="I43" i="68"/>
  <c r="I44" i="68"/>
  <c r="I45" i="68"/>
  <c r="I46" i="68"/>
  <c r="I47" i="68"/>
  <c r="I48" i="68"/>
  <c r="I49" i="68"/>
  <c r="I50" i="68"/>
  <c r="I51" i="68"/>
  <c r="I52" i="68"/>
  <c r="I53" i="68"/>
  <c r="I54" i="68"/>
  <c r="I55" i="68"/>
  <c r="I56" i="68"/>
  <c r="I57" i="68"/>
  <c r="I58" i="68"/>
  <c r="I59" i="68"/>
  <c r="I60" i="68"/>
  <c r="I61" i="68"/>
  <c r="I62" i="68"/>
  <c r="I63" i="68"/>
  <c r="I64" i="68"/>
  <c r="I65" i="68"/>
  <c r="I66" i="68"/>
  <c r="I67" i="68"/>
  <c r="I68" i="68"/>
  <c r="I69" i="68"/>
  <c r="I70" i="68"/>
  <c r="I71" i="68"/>
  <c r="I72" i="68"/>
  <c r="I73" i="68"/>
  <c r="I74" i="68"/>
  <c r="F46" i="68"/>
  <c r="F45" i="68" s="1"/>
  <c r="G46" i="68"/>
  <c r="F47" i="68"/>
  <c r="D9" i="68"/>
  <c r="E9" i="68"/>
  <c r="F9" i="68"/>
  <c r="G9" i="68"/>
  <c r="H9" i="68"/>
  <c r="C9" i="68"/>
  <c r="D71" i="68"/>
  <c r="E71" i="68"/>
  <c r="C74" i="68"/>
  <c r="C71" i="68" s="1"/>
  <c r="C64" i="68"/>
  <c r="D58" i="68"/>
  <c r="E58" i="68"/>
  <c r="C58" i="68"/>
  <c r="C63" i="68"/>
  <c r="D37" i="68"/>
  <c r="E37" i="68"/>
  <c r="C37" i="68"/>
  <c r="D34" i="68"/>
  <c r="E34" i="68"/>
  <c r="F34" i="68"/>
  <c r="G34" i="68"/>
  <c r="H34" i="68"/>
  <c r="C34" i="68"/>
  <c r="D10" i="68"/>
  <c r="E10" i="68"/>
  <c r="F10" i="68"/>
  <c r="G10" i="68"/>
  <c r="H10" i="68"/>
  <c r="C10" i="68"/>
  <c r="C33" i="68"/>
  <c r="D51" i="68"/>
  <c r="C54" i="68"/>
  <c r="C51" i="68" s="1"/>
  <c r="D45" i="68"/>
  <c r="E45" i="68"/>
  <c r="H45" i="68"/>
  <c r="C45" i="68"/>
  <c r="C38" i="68"/>
  <c r="E13" i="121" l="1"/>
  <c r="I14" i="121"/>
  <c r="H14" i="121"/>
  <c r="D11" i="121"/>
  <c r="U27" i="123"/>
  <c r="U14" i="123"/>
  <c r="Y9" i="123"/>
  <c r="Y12" i="123"/>
  <c r="O12" i="123"/>
  <c r="O9" i="123"/>
  <c r="Q21" i="123"/>
  <c r="Q15" i="123" s="1"/>
  <c r="Q13" i="123"/>
  <c r="U16" i="123"/>
  <c r="U15" i="123" s="1"/>
  <c r="U13" i="123"/>
  <c r="K15" i="123"/>
  <c r="R9" i="123"/>
  <c r="R12" i="123"/>
  <c r="E23" i="121"/>
  <c r="E22" i="121" s="1"/>
  <c r="G19" i="121"/>
  <c r="G11" i="121" s="1"/>
  <c r="E26" i="121"/>
  <c r="E25" i="121" s="1"/>
  <c r="G25" i="121"/>
  <c r="F19" i="121"/>
  <c r="F11" i="121" s="1"/>
  <c r="E20" i="121"/>
  <c r="E8" i="68"/>
  <c r="D8" i="68"/>
  <c r="E12" i="121" l="1"/>
  <c r="I13" i="121"/>
  <c r="H13" i="121"/>
  <c r="E19" i="121"/>
  <c r="K9" i="123"/>
  <c r="K12" i="123"/>
  <c r="Q9" i="123"/>
  <c r="Q12" i="123"/>
  <c r="U12" i="123"/>
  <c r="U9" i="123"/>
  <c r="H71" i="68"/>
  <c r="G71" i="68"/>
  <c r="H55" i="68"/>
  <c r="F55" i="68" s="1"/>
  <c r="G55" i="68"/>
  <c r="F56" i="68"/>
  <c r="F57" i="68"/>
  <c r="E16" i="121" l="1"/>
  <c r="E11" i="121" s="1"/>
  <c r="K11" i="121" s="1"/>
  <c r="F71" i="68"/>
  <c r="F76" i="68"/>
  <c r="M76" i="68" s="1"/>
  <c r="F70" i="68"/>
  <c r="M70" i="68" s="1"/>
  <c r="F69" i="68"/>
  <c r="M69" i="68" s="1"/>
  <c r="F68" i="68"/>
  <c r="F67" i="68"/>
  <c r="M67" i="68" s="1"/>
  <c r="F66" i="68"/>
  <c r="F65" i="68"/>
  <c r="F54" i="68"/>
  <c r="F53" i="68"/>
  <c r="F52" i="68"/>
  <c r="F50" i="68"/>
  <c r="I76" i="68" l="1"/>
  <c r="J76" i="68"/>
  <c r="M68" i="68"/>
  <c r="M66" i="68"/>
  <c r="M65" i="68"/>
  <c r="M14" i="90" l="1"/>
  <c r="M15" i="90"/>
  <c r="M16" i="90"/>
  <c r="M17" i="90"/>
  <c r="M18" i="90"/>
  <c r="M20" i="90"/>
  <c r="M21" i="90"/>
  <c r="M22" i="90"/>
  <c r="M11" i="90"/>
  <c r="M12" i="90"/>
  <c r="M13" i="90"/>
  <c r="L19" i="90"/>
  <c r="K19" i="90"/>
  <c r="C9" i="66"/>
  <c r="F61" i="121" l="1"/>
  <c r="F19" i="59"/>
  <c r="F15" i="59"/>
  <c r="F12" i="59"/>
  <c r="G35" i="59"/>
  <c r="G31" i="59"/>
  <c r="E31" i="59"/>
  <c r="E35" i="59"/>
  <c r="E22" i="59"/>
  <c r="G30" i="59"/>
  <c r="E30" i="59" s="1"/>
  <c r="G29" i="59"/>
  <c r="E29" i="59" s="1"/>
  <c r="G28" i="59"/>
  <c r="E28" i="59" s="1"/>
  <c r="G27" i="59"/>
  <c r="E27" i="59" s="1"/>
  <c r="G26" i="59"/>
  <c r="E26" i="59" s="1"/>
  <c r="G25" i="59"/>
  <c r="E25" i="59" s="1"/>
  <c r="G24" i="59"/>
  <c r="E24" i="59" s="1"/>
  <c r="G23" i="59"/>
  <c r="E23" i="59" s="1"/>
  <c r="G22" i="59"/>
  <c r="G19" i="59" s="1"/>
  <c r="G21" i="59"/>
  <c r="E21" i="59" s="1"/>
  <c r="G20" i="59"/>
  <c r="E20" i="59" s="1"/>
  <c r="G18" i="59"/>
  <c r="E18" i="59" s="1"/>
  <c r="G17" i="59"/>
  <c r="E17" i="59" s="1"/>
  <c r="G16" i="59"/>
  <c r="G15" i="59" s="1"/>
  <c r="G14" i="59"/>
  <c r="E14" i="59" s="1"/>
  <c r="G13" i="59"/>
  <c r="G12" i="59" s="1"/>
  <c r="G11" i="59" s="1"/>
  <c r="G10" i="59" s="1"/>
  <c r="G9" i="59" s="1"/>
  <c r="B19" i="58"/>
  <c r="E16" i="59" l="1"/>
  <c r="E13" i="59"/>
  <c r="B15" i="58"/>
  <c r="B12" i="58"/>
  <c r="A1" i="132" l="1"/>
  <c r="A4" i="131" l="1"/>
  <c r="A1" i="131"/>
  <c r="Z10" i="86" l="1"/>
  <c r="D13" i="130"/>
  <c r="E13" i="130"/>
  <c r="F13" i="130"/>
  <c r="C13" i="130"/>
  <c r="D10" i="130" l="1"/>
  <c r="E10" i="130"/>
  <c r="F10" i="130"/>
  <c r="H19" i="59" l="1"/>
  <c r="A4" i="130" l="1"/>
  <c r="C13" i="126"/>
  <c r="A4" i="126"/>
  <c r="A1" i="128" l="1"/>
  <c r="A1" i="129"/>
  <c r="A3" i="129"/>
  <c r="D14" i="129"/>
  <c r="E14" i="129"/>
  <c r="C11" i="129"/>
  <c r="C12" i="129"/>
  <c r="C13" i="129"/>
  <c r="C15" i="129"/>
  <c r="C14" i="129" s="1"/>
  <c r="D8" i="129"/>
  <c r="E8" i="129"/>
  <c r="C10" i="129"/>
  <c r="C8" i="129" s="1"/>
  <c r="C10" i="130"/>
  <c r="A3" i="128"/>
  <c r="H50" i="63"/>
  <c r="H49" i="63" s="1"/>
  <c r="H6" i="63" s="1"/>
  <c r="AP45" i="128" l="1"/>
  <c r="AP44" i="128"/>
  <c r="AQ45" i="128"/>
  <c r="AQ44" i="128"/>
  <c r="C45" i="128"/>
  <c r="C46" i="128"/>
  <c r="C44" i="128"/>
  <c r="D9" i="128"/>
  <c r="E9" i="128"/>
  <c r="F9" i="128"/>
  <c r="G9" i="128"/>
  <c r="H9" i="128"/>
  <c r="I9" i="128"/>
  <c r="K9" i="128"/>
  <c r="L9" i="128"/>
  <c r="M9" i="128"/>
  <c r="N9" i="128"/>
  <c r="O9" i="128"/>
  <c r="P9" i="128"/>
  <c r="Q9" i="128"/>
  <c r="R9" i="128"/>
  <c r="T9" i="128"/>
  <c r="U9" i="128"/>
  <c r="V9" i="128"/>
  <c r="W9" i="128"/>
  <c r="X9" i="128"/>
  <c r="Y9" i="128"/>
  <c r="AA9" i="128"/>
  <c r="AB9" i="128"/>
  <c r="AC9" i="128"/>
  <c r="AD9" i="128"/>
  <c r="AE9" i="128"/>
  <c r="AF9" i="128"/>
  <c r="AH9" i="128"/>
  <c r="AI9" i="128"/>
  <c r="AJ9" i="128"/>
  <c r="AK9" i="128"/>
  <c r="AL9" i="128"/>
  <c r="AM9" i="128"/>
  <c r="AN9" i="128"/>
  <c r="AO9" i="128"/>
  <c r="AR9" i="128"/>
  <c r="D63" i="128"/>
  <c r="E63" i="128"/>
  <c r="F63" i="128"/>
  <c r="G63" i="128"/>
  <c r="H63" i="128"/>
  <c r="I63" i="128"/>
  <c r="J63" i="128"/>
  <c r="K63" i="128"/>
  <c r="L63" i="128"/>
  <c r="M63" i="128"/>
  <c r="N63" i="128"/>
  <c r="O63" i="128"/>
  <c r="P63" i="128"/>
  <c r="Q63" i="128"/>
  <c r="R63" i="128"/>
  <c r="S63" i="128"/>
  <c r="T63" i="128"/>
  <c r="U63" i="128"/>
  <c r="V63" i="128"/>
  <c r="W63" i="128"/>
  <c r="X63" i="128"/>
  <c r="Y63" i="128"/>
  <c r="Z63" i="128"/>
  <c r="AA63" i="128"/>
  <c r="AB63" i="128"/>
  <c r="AC63" i="128"/>
  <c r="AD63" i="128"/>
  <c r="AE63" i="128"/>
  <c r="AF63" i="128"/>
  <c r="AG63" i="128"/>
  <c r="AH63" i="128"/>
  <c r="AI63" i="128"/>
  <c r="AJ63" i="128"/>
  <c r="AK63" i="128"/>
  <c r="AL63" i="128"/>
  <c r="AM63" i="128"/>
  <c r="AN63" i="128"/>
  <c r="AO63" i="128"/>
  <c r="AP63" i="128"/>
  <c r="AQ63" i="128"/>
  <c r="AR63" i="128"/>
  <c r="C63" i="128"/>
  <c r="D64" i="128"/>
  <c r="E64" i="128"/>
  <c r="F64" i="128"/>
  <c r="G64" i="128"/>
  <c r="H64" i="128"/>
  <c r="I64" i="128"/>
  <c r="J64" i="128"/>
  <c r="K64" i="128"/>
  <c r="L64" i="128"/>
  <c r="M64" i="128"/>
  <c r="N64" i="128"/>
  <c r="O64" i="128"/>
  <c r="P64" i="128"/>
  <c r="Q64" i="128"/>
  <c r="R64" i="128"/>
  <c r="S64" i="128"/>
  <c r="T64" i="128"/>
  <c r="U64" i="128"/>
  <c r="V64" i="128"/>
  <c r="W64" i="128"/>
  <c r="X64" i="128"/>
  <c r="Y64" i="128"/>
  <c r="Z64" i="128"/>
  <c r="AA64" i="128"/>
  <c r="AB64" i="128"/>
  <c r="AC64" i="128"/>
  <c r="AD64" i="128"/>
  <c r="AE64" i="128"/>
  <c r="AF64" i="128"/>
  <c r="AG64" i="128"/>
  <c r="AH64" i="128"/>
  <c r="AI64" i="128"/>
  <c r="AJ64" i="128"/>
  <c r="AK64" i="128"/>
  <c r="AL64" i="128"/>
  <c r="AM64" i="128"/>
  <c r="AN64" i="128"/>
  <c r="AO64" i="128"/>
  <c r="AP64" i="128"/>
  <c r="AQ64" i="128"/>
  <c r="AR64" i="128"/>
  <c r="D65" i="128"/>
  <c r="E65" i="128"/>
  <c r="F65" i="128"/>
  <c r="G65" i="128"/>
  <c r="H65" i="128"/>
  <c r="I65" i="128"/>
  <c r="J65" i="128"/>
  <c r="K65" i="128"/>
  <c r="L65" i="128"/>
  <c r="M65" i="128"/>
  <c r="N65" i="128"/>
  <c r="O65" i="128"/>
  <c r="P65" i="128"/>
  <c r="Q65" i="128"/>
  <c r="R65" i="128"/>
  <c r="S65" i="128"/>
  <c r="T65" i="128"/>
  <c r="U65" i="128"/>
  <c r="V65" i="128"/>
  <c r="W65" i="128"/>
  <c r="X65" i="128"/>
  <c r="Y65" i="128"/>
  <c r="Z65" i="128"/>
  <c r="AA65" i="128"/>
  <c r="AB65" i="128"/>
  <c r="AC65" i="128"/>
  <c r="AD65" i="128"/>
  <c r="AE65" i="128"/>
  <c r="AF65" i="128"/>
  <c r="AG65" i="128"/>
  <c r="AH65" i="128"/>
  <c r="AI65" i="128"/>
  <c r="AJ65" i="128"/>
  <c r="AK65" i="128"/>
  <c r="AL65" i="128"/>
  <c r="AM65" i="128"/>
  <c r="AN65" i="128"/>
  <c r="AO65" i="128"/>
  <c r="AP65" i="128"/>
  <c r="AQ65" i="128"/>
  <c r="AR65" i="128"/>
  <c r="D66" i="128"/>
  <c r="E66" i="128"/>
  <c r="F66" i="128"/>
  <c r="G66" i="128"/>
  <c r="H66" i="128"/>
  <c r="I66" i="128"/>
  <c r="J66" i="128"/>
  <c r="K66" i="128"/>
  <c r="L66" i="128"/>
  <c r="M66" i="128"/>
  <c r="N66" i="128"/>
  <c r="O66" i="128"/>
  <c r="P66" i="128"/>
  <c r="Q66" i="128"/>
  <c r="R66" i="128"/>
  <c r="S66" i="128"/>
  <c r="T66" i="128"/>
  <c r="U66" i="128"/>
  <c r="V66" i="128"/>
  <c r="W66" i="128"/>
  <c r="X66" i="128"/>
  <c r="Y66" i="128"/>
  <c r="Z66" i="128"/>
  <c r="AA66" i="128"/>
  <c r="AB66" i="128"/>
  <c r="AC66" i="128"/>
  <c r="AD66" i="128"/>
  <c r="AE66" i="128"/>
  <c r="AF66" i="128"/>
  <c r="AG66" i="128"/>
  <c r="AH66" i="128"/>
  <c r="AI66" i="128"/>
  <c r="AJ66" i="128"/>
  <c r="AK66" i="128"/>
  <c r="AL66" i="128"/>
  <c r="AM66" i="128"/>
  <c r="AN66" i="128"/>
  <c r="AO66" i="128"/>
  <c r="AP66" i="128"/>
  <c r="AQ66" i="128"/>
  <c r="AR66" i="128"/>
  <c r="C65" i="128"/>
  <c r="C66" i="128"/>
  <c r="C64" i="128"/>
  <c r="AQ78" i="128"/>
  <c r="AG78" i="128" s="1"/>
  <c r="S78" i="128"/>
  <c r="M78" i="128"/>
  <c r="L78" i="128" s="1"/>
  <c r="AQ77" i="128"/>
  <c r="AG77" i="128"/>
  <c r="AG75" i="128" s="1"/>
  <c r="S77" i="128"/>
  <c r="S75" i="128" s="1"/>
  <c r="M77" i="128"/>
  <c r="L77" i="128" s="1"/>
  <c r="L75" i="128" s="1"/>
  <c r="AQ76" i="128"/>
  <c r="AG76" i="128"/>
  <c r="S76" i="128"/>
  <c r="M76" i="128"/>
  <c r="L76" i="128"/>
  <c r="AR75" i="128"/>
  <c r="AQ75" i="128"/>
  <c r="AP75" i="128"/>
  <c r="AO75" i="128"/>
  <c r="AN75" i="128"/>
  <c r="AM75" i="128"/>
  <c r="AL75" i="128"/>
  <c r="AK75" i="128"/>
  <c r="AJ75" i="128"/>
  <c r="AI75" i="128"/>
  <c r="AH75" i="128"/>
  <c r="AF75" i="128"/>
  <c r="AE75" i="128"/>
  <c r="AD75" i="128"/>
  <c r="AC75" i="128"/>
  <c r="AB75" i="128"/>
  <c r="AA75" i="128"/>
  <c r="Z75" i="128"/>
  <c r="Y75" i="128"/>
  <c r="X75" i="128"/>
  <c r="W75" i="128"/>
  <c r="V75" i="128"/>
  <c r="U75" i="128"/>
  <c r="T75" i="128"/>
  <c r="R75" i="128"/>
  <c r="Q75" i="128"/>
  <c r="P75" i="128"/>
  <c r="O75" i="128"/>
  <c r="N75" i="128"/>
  <c r="M75" i="128"/>
  <c r="K75" i="128"/>
  <c r="J75" i="128"/>
  <c r="I75" i="128"/>
  <c r="H75" i="128"/>
  <c r="G75" i="128"/>
  <c r="F75" i="128"/>
  <c r="E75" i="128"/>
  <c r="D75" i="128"/>
  <c r="C75" i="128"/>
  <c r="AQ74" i="128"/>
  <c r="AG74" i="128" s="1"/>
  <c r="S74" i="128"/>
  <c r="M74" i="128"/>
  <c r="L74" i="128" s="1"/>
  <c r="AQ73" i="128"/>
  <c r="AG73" i="128" s="1"/>
  <c r="S73" i="128"/>
  <c r="M73" i="128"/>
  <c r="L73" i="128"/>
  <c r="AQ72" i="128"/>
  <c r="AQ71" i="128" s="1"/>
  <c r="S72" i="128"/>
  <c r="M72" i="128"/>
  <c r="L72" i="128" s="1"/>
  <c r="AR71" i="128"/>
  <c r="AP71" i="128"/>
  <c r="AO71" i="128"/>
  <c r="AN71" i="128"/>
  <c r="AM71" i="128"/>
  <c r="AL71" i="128"/>
  <c r="AK71" i="128"/>
  <c r="AJ71" i="128"/>
  <c r="AI71" i="128"/>
  <c r="AH71" i="128"/>
  <c r="AF71" i="128"/>
  <c r="AE71" i="128"/>
  <c r="AD71" i="128"/>
  <c r="AC71" i="128"/>
  <c r="AB71" i="128"/>
  <c r="AA71" i="128"/>
  <c r="Z71" i="128"/>
  <c r="Y71" i="128"/>
  <c r="X71" i="128"/>
  <c r="W71" i="128"/>
  <c r="V71" i="128"/>
  <c r="U71" i="128"/>
  <c r="T71" i="128"/>
  <c r="R71" i="128"/>
  <c r="Q71" i="128"/>
  <c r="P71" i="128"/>
  <c r="O71" i="128"/>
  <c r="N71" i="128"/>
  <c r="K71" i="128"/>
  <c r="J71" i="128"/>
  <c r="I71" i="128"/>
  <c r="H71" i="128"/>
  <c r="G71" i="128"/>
  <c r="F71" i="128"/>
  <c r="E71" i="128"/>
  <c r="D71" i="128"/>
  <c r="C71" i="128"/>
  <c r="L71" i="128" l="1"/>
  <c r="S71" i="128"/>
  <c r="AG72" i="128"/>
  <c r="AG71" i="128" s="1"/>
  <c r="M71" i="128"/>
  <c r="AQ70" i="128"/>
  <c r="AG70" i="128" s="1"/>
  <c r="S70" i="128"/>
  <c r="M70" i="128"/>
  <c r="L70" i="128"/>
  <c r="AQ69" i="128"/>
  <c r="AG69" i="128" s="1"/>
  <c r="S69" i="128"/>
  <c r="S67" i="128" s="1"/>
  <c r="M69" i="128"/>
  <c r="L69" i="128" s="1"/>
  <c r="AQ68" i="128"/>
  <c r="S68" i="128"/>
  <c r="M68" i="128"/>
  <c r="L68" i="128" s="1"/>
  <c r="AR67" i="128"/>
  <c r="AP67" i="128"/>
  <c r="AO67" i="128"/>
  <c r="AN67" i="128"/>
  <c r="AM67" i="128"/>
  <c r="AL67" i="128"/>
  <c r="AK67" i="128"/>
  <c r="AJ67" i="128"/>
  <c r="AI67" i="128"/>
  <c r="AH67" i="128"/>
  <c r="AF67" i="128"/>
  <c r="AE67" i="128"/>
  <c r="AD67" i="128"/>
  <c r="AC67" i="128"/>
  <c r="AB67" i="128"/>
  <c r="AA67" i="128"/>
  <c r="Z67" i="128"/>
  <c r="Y67" i="128"/>
  <c r="X67" i="128"/>
  <c r="W67" i="128"/>
  <c r="V67" i="128"/>
  <c r="U67" i="128"/>
  <c r="T67" i="128"/>
  <c r="R67" i="128"/>
  <c r="Q67" i="128"/>
  <c r="P67" i="128"/>
  <c r="O67" i="128"/>
  <c r="N67" i="128"/>
  <c r="K67" i="128"/>
  <c r="J67" i="128"/>
  <c r="I67" i="128"/>
  <c r="H67" i="128"/>
  <c r="G67" i="128"/>
  <c r="F67" i="128"/>
  <c r="E67" i="128"/>
  <c r="D67" i="128"/>
  <c r="C67" i="128"/>
  <c r="D36" i="128"/>
  <c r="E36" i="128"/>
  <c r="F36" i="128"/>
  <c r="G36" i="128"/>
  <c r="H36" i="128"/>
  <c r="I36" i="128"/>
  <c r="J36" i="128"/>
  <c r="K36" i="128"/>
  <c r="N36" i="128"/>
  <c r="O36" i="128"/>
  <c r="P36" i="128"/>
  <c r="Q36" i="128"/>
  <c r="R36" i="128"/>
  <c r="T36" i="128"/>
  <c r="U36" i="128"/>
  <c r="V36" i="128"/>
  <c r="W36" i="128"/>
  <c r="X36" i="128"/>
  <c r="Y36" i="128"/>
  <c r="Z36" i="128"/>
  <c r="AA36" i="128"/>
  <c r="AB36" i="128"/>
  <c r="AC36" i="128"/>
  <c r="AD36" i="128"/>
  <c r="AE36" i="128"/>
  <c r="AF36" i="128"/>
  <c r="AH36" i="128"/>
  <c r="AI36" i="128"/>
  <c r="AJ36" i="128"/>
  <c r="AK36" i="128"/>
  <c r="AL36" i="128"/>
  <c r="AM36" i="128"/>
  <c r="AN36" i="128"/>
  <c r="AO36" i="128"/>
  <c r="AP36" i="128"/>
  <c r="AR36" i="128"/>
  <c r="D37" i="128"/>
  <c r="E37" i="128"/>
  <c r="F37" i="128"/>
  <c r="G37" i="128"/>
  <c r="H37" i="128"/>
  <c r="I37" i="128"/>
  <c r="J37" i="128"/>
  <c r="K37" i="128"/>
  <c r="N37" i="128"/>
  <c r="O37" i="128"/>
  <c r="P37" i="128"/>
  <c r="Q37" i="128"/>
  <c r="R37" i="128"/>
  <c r="T37" i="128"/>
  <c r="U37" i="128"/>
  <c r="V37" i="128"/>
  <c r="W37" i="128"/>
  <c r="X37" i="128"/>
  <c r="Y37" i="128"/>
  <c r="Z37" i="128"/>
  <c r="AA37" i="128"/>
  <c r="AB37" i="128"/>
  <c r="AC37" i="128"/>
  <c r="AD37" i="128"/>
  <c r="AE37" i="128"/>
  <c r="AF37" i="128"/>
  <c r="AH37" i="128"/>
  <c r="AI37" i="128"/>
  <c r="AJ37" i="128"/>
  <c r="AK37" i="128"/>
  <c r="AL37" i="128"/>
  <c r="AM37" i="128"/>
  <c r="AN37" i="128"/>
  <c r="AO37" i="128"/>
  <c r="AP37" i="128"/>
  <c r="AR37" i="128"/>
  <c r="D38" i="128"/>
  <c r="E38" i="128"/>
  <c r="F38" i="128"/>
  <c r="G38" i="128"/>
  <c r="H38" i="128"/>
  <c r="I38" i="128"/>
  <c r="I35" i="128" s="1"/>
  <c r="J38" i="128"/>
  <c r="K38" i="128"/>
  <c r="N38" i="128"/>
  <c r="O38" i="128"/>
  <c r="P38" i="128"/>
  <c r="Q38" i="128"/>
  <c r="R38" i="128"/>
  <c r="T38" i="128"/>
  <c r="U38" i="128"/>
  <c r="V38" i="128"/>
  <c r="W38" i="128"/>
  <c r="X38" i="128"/>
  <c r="Y38" i="128"/>
  <c r="Z38" i="128"/>
  <c r="AA38" i="128"/>
  <c r="AB38" i="128"/>
  <c r="AC38" i="128"/>
  <c r="AD38" i="128"/>
  <c r="AE38" i="128"/>
  <c r="AF38" i="128"/>
  <c r="AH38" i="128"/>
  <c r="AI38" i="128"/>
  <c r="AJ38" i="128"/>
  <c r="AK38" i="128"/>
  <c r="AL38" i="128"/>
  <c r="AM38" i="128"/>
  <c r="AN38" i="128"/>
  <c r="AO38" i="128"/>
  <c r="AP38" i="128"/>
  <c r="AR38" i="128"/>
  <c r="C37" i="128"/>
  <c r="C38" i="128"/>
  <c r="C36" i="128"/>
  <c r="AQ62" i="128"/>
  <c r="AG62" i="128"/>
  <c r="S62" i="128"/>
  <c r="M62" i="128"/>
  <c r="L62" i="128" s="1"/>
  <c r="AQ61" i="128"/>
  <c r="AG61" i="128" s="1"/>
  <c r="S61" i="128"/>
  <c r="M61" i="128"/>
  <c r="L61" i="128" s="1"/>
  <c r="AQ60" i="128"/>
  <c r="S60" i="128"/>
  <c r="M60" i="128"/>
  <c r="L60" i="128" s="1"/>
  <c r="AR59" i="128"/>
  <c r="AP59" i="128"/>
  <c r="AO59" i="128"/>
  <c r="AN59" i="128"/>
  <c r="AM59" i="128"/>
  <c r="AL59" i="128"/>
  <c r="AK59" i="128"/>
  <c r="AJ59" i="128"/>
  <c r="AI59" i="128"/>
  <c r="AH59" i="128"/>
  <c r="AF59" i="128"/>
  <c r="AE59" i="128"/>
  <c r="AD59" i="128"/>
  <c r="AC59" i="128"/>
  <c r="AB59" i="128"/>
  <c r="AA59" i="128"/>
  <c r="Z59" i="128"/>
  <c r="Y59" i="128"/>
  <c r="X59" i="128"/>
  <c r="W59" i="128"/>
  <c r="V59" i="128"/>
  <c r="U59" i="128"/>
  <c r="T59" i="128"/>
  <c r="R59" i="128"/>
  <c r="Q59" i="128"/>
  <c r="P59" i="128"/>
  <c r="O59" i="128"/>
  <c r="N59" i="128"/>
  <c r="K59" i="128"/>
  <c r="J59" i="128"/>
  <c r="I59" i="128"/>
  <c r="H59" i="128"/>
  <c r="G59" i="128"/>
  <c r="F59" i="128"/>
  <c r="E59" i="128"/>
  <c r="D59" i="128"/>
  <c r="C59" i="128"/>
  <c r="S48" i="128"/>
  <c r="AQ58" i="128"/>
  <c r="AG58" i="128" s="1"/>
  <c r="S58" i="128"/>
  <c r="M58" i="128"/>
  <c r="L58" i="128" s="1"/>
  <c r="AQ57" i="128"/>
  <c r="AG57" i="128" s="1"/>
  <c r="S57" i="128"/>
  <c r="M57" i="128"/>
  <c r="L57" i="128" s="1"/>
  <c r="AQ56" i="128"/>
  <c r="S56" i="128"/>
  <c r="M56" i="128"/>
  <c r="L56" i="128" s="1"/>
  <c r="AR55" i="128"/>
  <c r="AP55" i="128"/>
  <c r="AO55" i="128"/>
  <c r="AN55" i="128"/>
  <c r="AM55" i="128"/>
  <c r="AL55" i="128"/>
  <c r="AK55" i="128"/>
  <c r="AJ55" i="128"/>
  <c r="AI55" i="128"/>
  <c r="AH55" i="128"/>
  <c r="AF55" i="128"/>
  <c r="AE55" i="128"/>
  <c r="AD55" i="128"/>
  <c r="AC55" i="128"/>
  <c r="AB55" i="128"/>
  <c r="AA55" i="128"/>
  <c r="Z55" i="128"/>
  <c r="Y55" i="128"/>
  <c r="X55" i="128"/>
  <c r="W55" i="128"/>
  <c r="V55" i="128"/>
  <c r="U55" i="128"/>
  <c r="T55" i="128"/>
  <c r="R55" i="128"/>
  <c r="Q55" i="128"/>
  <c r="P55" i="128"/>
  <c r="O55" i="128"/>
  <c r="N55" i="128"/>
  <c r="K55" i="128"/>
  <c r="J55" i="128"/>
  <c r="I55" i="128"/>
  <c r="H55" i="128"/>
  <c r="G55" i="128"/>
  <c r="F55" i="128"/>
  <c r="E55" i="128"/>
  <c r="D55" i="128"/>
  <c r="C55" i="128"/>
  <c r="AQ54" i="128"/>
  <c r="AG54" i="128" s="1"/>
  <c r="S54" i="128"/>
  <c r="M54" i="128"/>
  <c r="L54" i="128" s="1"/>
  <c r="AQ53" i="128"/>
  <c r="S53" i="128"/>
  <c r="M53" i="128"/>
  <c r="L53" i="128" s="1"/>
  <c r="AQ52" i="128"/>
  <c r="AG52" i="128" s="1"/>
  <c r="S52" i="128"/>
  <c r="M52" i="128"/>
  <c r="L52" i="128" s="1"/>
  <c r="AR51" i="128"/>
  <c r="AP51" i="128"/>
  <c r="AO51" i="128"/>
  <c r="AN51" i="128"/>
  <c r="AM51" i="128"/>
  <c r="AL51" i="128"/>
  <c r="AK51" i="128"/>
  <c r="AJ51" i="128"/>
  <c r="AI51" i="128"/>
  <c r="AH51" i="128"/>
  <c r="AF51" i="128"/>
  <c r="AE51" i="128"/>
  <c r="AD51" i="128"/>
  <c r="AC51" i="128"/>
  <c r="AB51" i="128"/>
  <c r="AA51" i="128"/>
  <c r="Z51" i="128"/>
  <c r="Y51" i="128"/>
  <c r="X51" i="128"/>
  <c r="W51" i="128"/>
  <c r="V51" i="128"/>
  <c r="U51" i="128"/>
  <c r="T51" i="128"/>
  <c r="R51" i="128"/>
  <c r="Q51" i="128"/>
  <c r="P51" i="128"/>
  <c r="O51" i="128"/>
  <c r="N51" i="128"/>
  <c r="K51" i="128"/>
  <c r="J51" i="128"/>
  <c r="I51" i="128"/>
  <c r="H51" i="128"/>
  <c r="G51" i="128"/>
  <c r="F51" i="128"/>
  <c r="E51" i="128"/>
  <c r="D51" i="128"/>
  <c r="C51" i="128"/>
  <c r="AQ50" i="128"/>
  <c r="AG50" i="128" s="1"/>
  <c r="S50" i="128"/>
  <c r="M50" i="128"/>
  <c r="L50" i="128" s="1"/>
  <c r="AQ49" i="128"/>
  <c r="AG49" i="128" s="1"/>
  <c r="S49" i="128"/>
  <c r="M49" i="128"/>
  <c r="L49" i="128" s="1"/>
  <c r="AQ48" i="128"/>
  <c r="M48" i="128"/>
  <c r="L48" i="128" s="1"/>
  <c r="AR47" i="128"/>
  <c r="AP47" i="128"/>
  <c r="AO47" i="128"/>
  <c r="AN47" i="128"/>
  <c r="AM47" i="128"/>
  <c r="AL47" i="128"/>
  <c r="AK47" i="128"/>
  <c r="AJ47" i="128"/>
  <c r="AI47" i="128"/>
  <c r="AH47" i="128"/>
  <c r="AF47" i="128"/>
  <c r="AE47" i="128"/>
  <c r="AD47" i="128"/>
  <c r="AC47" i="128"/>
  <c r="AB47" i="128"/>
  <c r="AA47" i="128"/>
  <c r="Z47" i="128"/>
  <c r="Y47" i="128"/>
  <c r="X47" i="128"/>
  <c r="W47" i="128"/>
  <c r="V47" i="128"/>
  <c r="U47" i="128"/>
  <c r="T47" i="128"/>
  <c r="R47" i="128"/>
  <c r="Q47" i="128"/>
  <c r="P47" i="128"/>
  <c r="O47" i="128"/>
  <c r="N47" i="128"/>
  <c r="K47" i="128"/>
  <c r="J47" i="128"/>
  <c r="I47" i="128"/>
  <c r="H47" i="128"/>
  <c r="G47" i="128"/>
  <c r="F47" i="128"/>
  <c r="E47" i="128"/>
  <c r="D47" i="128"/>
  <c r="C47" i="128"/>
  <c r="AQ46" i="128"/>
  <c r="AG46" i="128" s="1"/>
  <c r="S46" i="128"/>
  <c r="M46" i="128"/>
  <c r="L46" i="128" s="1"/>
  <c r="AG45" i="128"/>
  <c r="S45" i="128"/>
  <c r="M45" i="128"/>
  <c r="L45" i="128" s="1"/>
  <c r="S44" i="128"/>
  <c r="M44" i="128"/>
  <c r="L44" i="128" s="1"/>
  <c r="AR43" i="128"/>
  <c r="AP43" i="128"/>
  <c r="AO43" i="128"/>
  <c r="AN43" i="128"/>
  <c r="AM43" i="128"/>
  <c r="AL43" i="128"/>
  <c r="AK43" i="128"/>
  <c r="AJ43" i="128"/>
  <c r="AI43" i="128"/>
  <c r="AH43" i="128"/>
  <c r="AF43" i="128"/>
  <c r="AE43" i="128"/>
  <c r="AD43" i="128"/>
  <c r="AC43" i="128"/>
  <c r="AB43" i="128"/>
  <c r="AA43" i="128"/>
  <c r="Z43" i="128"/>
  <c r="Y43" i="128"/>
  <c r="X43" i="128"/>
  <c r="W43" i="128"/>
  <c r="V43" i="128"/>
  <c r="U43" i="128"/>
  <c r="T43" i="128"/>
  <c r="R43" i="128"/>
  <c r="Q43" i="128"/>
  <c r="P43" i="128"/>
  <c r="O43" i="128"/>
  <c r="N43" i="128"/>
  <c r="K43" i="128"/>
  <c r="J43" i="128"/>
  <c r="I43" i="128"/>
  <c r="H43" i="128"/>
  <c r="G43" i="128"/>
  <c r="F43" i="128"/>
  <c r="E43" i="128"/>
  <c r="D43" i="128"/>
  <c r="C43" i="128"/>
  <c r="AQ42" i="128"/>
  <c r="AG42" i="128" s="1"/>
  <c r="S42" i="128"/>
  <c r="M42" i="128"/>
  <c r="L42" i="128" s="1"/>
  <c r="AQ41" i="128"/>
  <c r="AG41" i="128" s="1"/>
  <c r="S41" i="128"/>
  <c r="M41" i="128"/>
  <c r="L41" i="128" s="1"/>
  <c r="AQ40" i="128"/>
  <c r="AG40" i="128" s="1"/>
  <c r="S40" i="128"/>
  <c r="M40" i="128"/>
  <c r="L40" i="128" s="1"/>
  <c r="AR39" i="128"/>
  <c r="AP39" i="128"/>
  <c r="AO39" i="128"/>
  <c r="AN39" i="128"/>
  <c r="AM39" i="128"/>
  <c r="AL39" i="128"/>
  <c r="AK39" i="128"/>
  <c r="AJ39" i="128"/>
  <c r="AI39" i="128"/>
  <c r="AH39" i="128"/>
  <c r="AF39" i="128"/>
  <c r="AE39" i="128"/>
  <c r="AD39" i="128"/>
  <c r="AC39" i="128"/>
  <c r="AB39" i="128"/>
  <c r="AA39" i="128"/>
  <c r="Z39" i="128"/>
  <c r="Y39" i="128"/>
  <c r="X39" i="128"/>
  <c r="W39" i="128"/>
  <c r="V39" i="128"/>
  <c r="U39" i="128"/>
  <c r="T39" i="128"/>
  <c r="R39" i="128"/>
  <c r="Q39" i="128"/>
  <c r="P39" i="128"/>
  <c r="O39" i="128"/>
  <c r="N39" i="128"/>
  <c r="K39" i="128"/>
  <c r="J39" i="128"/>
  <c r="I39" i="128"/>
  <c r="H39" i="128"/>
  <c r="G39" i="128"/>
  <c r="F39" i="128"/>
  <c r="E39" i="128"/>
  <c r="D39" i="128"/>
  <c r="C39" i="128"/>
  <c r="AL35" i="128"/>
  <c r="AK35" i="128"/>
  <c r="U35" i="128"/>
  <c r="E35" i="128"/>
  <c r="D12" i="128"/>
  <c r="E12" i="128"/>
  <c r="F12" i="128"/>
  <c r="G12" i="128"/>
  <c r="H12" i="128"/>
  <c r="I12" i="128"/>
  <c r="J12" i="128"/>
  <c r="K12" i="128"/>
  <c r="N12" i="128"/>
  <c r="O12" i="128"/>
  <c r="P12" i="128"/>
  <c r="Q12" i="128"/>
  <c r="R12" i="128"/>
  <c r="T12" i="128"/>
  <c r="U12" i="128"/>
  <c r="V12" i="128"/>
  <c r="W12" i="128"/>
  <c r="X12" i="128"/>
  <c r="Y12" i="128"/>
  <c r="Z12" i="128"/>
  <c r="AA12" i="128"/>
  <c r="AB12" i="128"/>
  <c r="AC12" i="128"/>
  <c r="AD12" i="128"/>
  <c r="AE12" i="128"/>
  <c r="AF12" i="128"/>
  <c r="AH12" i="128"/>
  <c r="AI12" i="128"/>
  <c r="AJ12" i="128"/>
  <c r="AK12" i="128"/>
  <c r="AL12" i="128"/>
  <c r="AM12" i="128"/>
  <c r="AN12" i="128"/>
  <c r="AO12" i="128"/>
  <c r="AP12" i="128"/>
  <c r="AR12" i="128"/>
  <c r="D13" i="128"/>
  <c r="E13" i="128"/>
  <c r="F13" i="128"/>
  <c r="G13" i="128"/>
  <c r="H13" i="128"/>
  <c r="I13" i="128"/>
  <c r="J13" i="128"/>
  <c r="K13" i="128"/>
  <c r="N13" i="128"/>
  <c r="O13" i="128"/>
  <c r="P13" i="128"/>
  <c r="Q13" i="128"/>
  <c r="R13" i="128"/>
  <c r="T13" i="128"/>
  <c r="U13" i="128"/>
  <c r="V13" i="128"/>
  <c r="W13" i="128"/>
  <c r="X13" i="128"/>
  <c r="Y13" i="128"/>
  <c r="Z13" i="128"/>
  <c r="AA13" i="128"/>
  <c r="AB13" i="128"/>
  <c r="AC13" i="128"/>
  <c r="AD13" i="128"/>
  <c r="AE13" i="128"/>
  <c r="AF13" i="128"/>
  <c r="AH13" i="128"/>
  <c r="AI13" i="128"/>
  <c r="AJ13" i="128"/>
  <c r="AK13" i="128"/>
  <c r="AL13" i="128"/>
  <c r="AM13" i="128"/>
  <c r="AN13" i="128"/>
  <c r="AO13" i="128"/>
  <c r="AP13" i="128"/>
  <c r="AR13" i="128"/>
  <c r="D14" i="128"/>
  <c r="E14" i="128"/>
  <c r="F14" i="128"/>
  <c r="G14" i="128"/>
  <c r="H14" i="128"/>
  <c r="I14" i="128"/>
  <c r="J14" i="128"/>
  <c r="K14" i="128"/>
  <c r="N14" i="128"/>
  <c r="O14" i="128"/>
  <c r="P14" i="128"/>
  <c r="Q14" i="128"/>
  <c r="R14" i="128"/>
  <c r="T14" i="128"/>
  <c r="U14" i="128"/>
  <c r="V14" i="128"/>
  <c r="W14" i="128"/>
  <c r="X14" i="128"/>
  <c r="Y14" i="128"/>
  <c r="Z14" i="128"/>
  <c r="AA14" i="128"/>
  <c r="AB14" i="128"/>
  <c r="AC14" i="128"/>
  <c r="AD14" i="128"/>
  <c r="AE14" i="128"/>
  <c r="AF14" i="128"/>
  <c r="AH14" i="128"/>
  <c r="AI14" i="128"/>
  <c r="AJ14" i="128"/>
  <c r="AK14" i="128"/>
  <c r="AL14" i="128"/>
  <c r="AM14" i="128"/>
  <c r="AN14" i="128"/>
  <c r="AO14" i="128"/>
  <c r="AP14" i="128"/>
  <c r="AR14" i="128"/>
  <c r="C12" i="128"/>
  <c r="C13" i="128"/>
  <c r="C14" i="128"/>
  <c r="AQ34" i="128"/>
  <c r="AG34" i="128" s="1"/>
  <c r="S34" i="128"/>
  <c r="M34" i="128"/>
  <c r="L34" i="128" s="1"/>
  <c r="AQ33" i="128"/>
  <c r="AG33" i="128" s="1"/>
  <c r="S33" i="128"/>
  <c r="M33" i="128"/>
  <c r="L33" i="128" s="1"/>
  <c r="AQ32" i="128"/>
  <c r="AG32" i="128" s="1"/>
  <c r="S32" i="128"/>
  <c r="M32" i="128"/>
  <c r="L32" i="128" s="1"/>
  <c r="AR31" i="128"/>
  <c r="AP31" i="128"/>
  <c r="AO31" i="128"/>
  <c r="AN31" i="128"/>
  <c r="AM31" i="128"/>
  <c r="AL31" i="128"/>
  <c r="AK31" i="128"/>
  <c r="AJ31" i="128"/>
  <c r="AI31" i="128"/>
  <c r="AH31" i="128"/>
  <c r="AF31" i="128"/>
  <c r="AE31" i="128"/>
  <c r="AD31" i="128"/>
  <c r="AC31" i="128"/>
  <c r="AB31" i="128"/>
  <c r="AA31" i="128"/>
  <c r="Z31" i="128"/>
  <c r="Y31" i="128"/>
  <c r="X31" i="128"/>
  <c r="W31" i="128"/>
  <c r="V31" i="128"/>
  <c r="U31" i="128"/>
  <c r="T31" i="128"/>
  <c r="R31" i="128"/>
  <c r="Q31" i="128"/>
  <c r="P31" i="128"/>
  <c r="O31" i="128"/>
  <c r="N31" i="128"/>
  <c r="K31" i="128"/>
  <c r="J31" i="128"/>
  <c r="I31" i="128"/>
  <c r="H31" i="128"/>
  <c r="G31" i="128"/>
  <c r="F31" i="128"/>
  <c r="E31" i="128"/>
  <c r="D31" i="128"/>
  <c r="C31" i="128"/>
  <c r="S36" i="128" l="1"/>
  <c r="AO35" i="128"/>
  <c r="H35" i="128"/>
  <c r="M43" i="128"/>
  <c r="S59" i="128"/>
  <c r="M36" i="128"/>
  <c r="L38" i="128"/>
  <c r="Q35" i="128"/>
  <c r="AM35" i="128"/>
  <c r="K35" i="128"/>
  <c r="AQ36" i="128"/>
  <c r="S38" i="128"/>
  <c r="L36" i="128"/>
  <c r="AG38" i="128"/>
  <c r="Y35" i="128"/>
  <c r="AK11" i="128"/>
  <c r="AK10" i="128" s="1"/>
  <c r="L37" i="128"/>
  <c r="AD35" i="128"/>
  <c r="V35" i="128"/>
  <c r="Z35" i="128"/>
  <c r="AN35" i="128"/>
  <c r="AF35" i="128"/>
  <c r="X35" i="128"/>
  <c r="P35" i="128"/>
  <c r="C11" i="128"/>
  <c r="S37" i="128"/>
  <c r="AP35" i="128"/>
  <c r="AH35" i="128"/>
  <c r="AC11" i="128"/>
  <c r="AQ67" i="128"/>
  <c r="AG68" i="128"/>
  <c r="AG67" i="128" s="1"/>
  <c r="L67" i="128"/>
  <c r="M38" i="128"/>
  <c r="M67" i="128"/>
  <c r="M37" i="128"/>
  <c r="AQ38" i="128"/>
  <c r="AQ37" i="128"/>
  <c r="AO11" i="128"/>
  <c r="AO10" i="128" s="1"/>
  <c r="R35" i="128"/>
  <c r="AI35" i="128"/>
  <c r="AA35" i="128"/>
  <c r="N11" i="128"/>
  <c r="AD11" i="128"/>
  <c r="C35" i="128"/>
  <c r="AQ59" i="128"/>
  <c r="L59" i="128"/>
  <c r="M59" i="128"/>
  <c r="AA11" i="128"/>
  <c r="AI11" i="128"/>
  <c r="AI10" i="128" s="1"/>
  <c r="S39" i="128"/>
  <c r="Q11" i="128"/>
  <c r="AL11" i="128"/>
  <c r="AL10" i="128" s="1"/>
  <c r="F11" i="128"/>
  <c r="AQ43" i="128"/>
  <c r="AG60" i="128"/>
  <c r="AG59" i="128" s="1"/>
  <c r="V11" i="128"/>
  <c r="AC35" i="128"/>
  <c r="AC10" i="128" s="1"/>
  <c r="AQ51" i="128"/>
  <c r="L51" i="128"/>
  <c r="O35" i="128"/>
  <c r="M51" i="128"/>
  <c r="AQ47" i="128"/>
  <c r="L55" i="128"/>
  <c r="AP11" i="128"/>
  <c r="AH11" i="128"/>
  <c r="AH10" i="128" s="1"/>
  <c r="Z11" i="128"/>
  <c r="R11" i="128"/>
  <c r="I11" i="128"/>
  <c r="I10" i="128" s="1"/>
  <c r="N35" i="128"/>
  <c r="W35" i="128"/>
  <c r="AE35" i="128"/>
  <c r="AG44" i="128"/>
  <c r="AG53" i="128"/>
  <c r="AG51" i="128" s="1"/>
  <c r="AN11" i="128"/>
  <c r="AF11" i="128"/>
  <c r="X11" i="128"/>
  <c r="P11" i="128"/>
  <c r="G11" i="128"/>
  <c r="F35" i="128"/>
  <c r="AR35" i="128"/>
  <c r="J35" i="128"/>
  <c r="AQ39" i="128"/>
  <c r="S47" i="128"/>
  <c r="Y11" i="128"/>
  <c r="Y10" i="128" s="1"/>
  <c r="AM11" i="128"/>
  <c r="AE11" i="128"/>
  <c r="W11" i="128"/>
  <c r="W10" i="128" s="1"/>
  <c r="O11" i="128"/>
  <c r="G35" i="128"/>
  <c r="AJ35" i="128"/>
  <c r="S51" i="128"/>
  <c r="L47" i="128"/>
  <c r="E11" i="128"/>
  <c r="E10" i="128" s="1"/>
  <c r="T35" i="128"/>
  <c r="AB35" i="128"/>
  <c r="J11" i="128"/>
  <c r="U11" i="128"/>
  <c r="U10" i="128" s="1"/>
  <c r="D11" i="128"/>
  <c r="S55" i="128"/>
  <c r="H11" i="128"/>
  <c r="H10" i="128" s="1"/>
  <c r="AR11" i="128"/>
  <c r="AJ11" i="128"/>
  <c r="AB11" i="128"/>
  <c r="AB10" i="128" s="1"/>
  <c r="T11" i="128"/>
  <c r="T10" i="128" s="1"/>
  <c r="K11" i="128"/>
  <c r="D35" i="128"/>
  <c r="L43" i="128"/>
  <c r="M55" i="128"/>
  <c r="AQ55" i="128"/>
  <c r="L39" i="128"/>
  <c r="AG39" i="128"/>
  <c r="AG48" i="128"/>
  <c r="AG47" i="128" s="1"/>
  <c r="S31" i="128"/>
  <c r="S43" i="128"/>
  <c r="AG56" i="128"/>
  <c r="AG55" i="128" s="1"/>
  <c r="M39" i="128"/>
  <c r="M47" i="128"/>
  <c r="L31" i="128"/>
  <c r="M31" i="128"/>
  <c r="AQ31" i="128"/>
  <c r="AG31" i="128"/>
  <c r="AM10" i="128" l="1"/>
  <c r="AF10" i="128"/>
  <c r="Z10" i="128"/>
  <c r="Z9" i="128" s="1"/>
  <c r="AG43" i="128"/>
  <c r="AG36" i="128"/>
  <c r="K10" i="128"/>
  <c r="P10" i="128"/>
  <c r="X10" i="128"/>
  <c r="R10" i="128"/>
  <c r="Q10" i="128"/>
  <c r="AD10" i="128"/>
  <c r="AN10" i="128"/>
  <c r="N10" i="128"/>
  <c r="AP10" i="128"/>
  <c r="AP9" i="128" s="1"/>
  <c r="V10" i="128"/>
  <c r="AE10" i="128"/>
  <c r="C10" i="128"/>
  <c r="C9" i="128" s="1"/>
  <c r="J10" i="128"/>
  <c r="J9" i="128" s="1"/>
  <c r="O10" i="128"/>
  <c r="AA10" i="128"/>
  <c r="AG37" i="128"/>
  <c r="D10" i="128"/>
  <c r="AJ10" i="128"/>
  <c r="G10" i="128"/>
  <c r="AR10" i="128"/>
  <c r="F10" i="128"/>
  <c r="S35" i="128"/>
  <c r="AQ35" i="128"/>
  <c r="L35" i="128"/>
  <c r="M35" i="128"/>
  <c r="AG35" i="128" l="1"/>
  <c r="AQ30" i="128"/>
  <c r="AG30" i="128" s="1"/>
  <c r="S30" i="128"/>
  <c r="M30" i="128"/>
  <c r="L30" i="128" s="1"/>
  <c r="AQ29" i="128"/>
  <c r="AG29" i="128" s="1"/>
  <c r="S29" i="128"/>
  <c r="M29" i="128"/>
  <c r="L29" i="128" s="1"/>
  <c r="AQ28" i="128"/>
  <c r="AG28" i="128" s="1"/>
  <c r="S28" i="128"/>
  <c r="M28" i="128"/>
  <c r="L28" i="128" s="1"/>
  <c r="AR27" i="128"/>
  <c r="AP27" i="128"/>
  <c r="AO27" i="128"/>
  <c r="AN27" i="128"/>
  <c r="AM27" i="128"/>
  <c r="AL27" i="128"/>
  <c r="AK27" i="128"/>
  <c r="AJ27" i="128"/>
  <c r="AI27" i="128"/>
  <c r="AH27" i="128"/>
  <c r="AF27" i="128"/>
  <c r="AE27" i="128"/>
  <c r="AD27" i="128"/>
  <c r="AC27" i="128"/>
  <c r="AB27" i="128"/>
  <c r="AA27" i="128"/>
  <c r="Z27" i="128"/>
  <c r="Y27" i="128"/>
  <c r="X27" i="128"/>
  <c r="W27" i="128"/>
  <c r="V27" i="128"/>
  <c r="U27" i="128"/>
  <c r="T27" i="128"/>
  <c r="R27" i="128"/>
  <c r="Q27" i="128"/>
  <c r="P27" i="128"/>
  <c r="O27" i="128"/>
  <c r="N27" i="128"/>
  <c r="K27" i="128"/>
  <c r="J27" i="128"/>
  <c r="I27" i="128"/>
  <c r="H27" i="128"/>
  <c r="G27" i="128"/>
  <c r="F27" i="128"/>
  <c r="E27" i="128"/>
  <c r="D27" i="128"/>
  <c r="C27" i="128"/>
  <c r="AQ26" i="128"/>
  <c r="AG26" i="128" s="1"/>
  <c r="S26" i="128"/>
  <c r="M26" i="128"/>
  <c r="L26" i="128" s="1"/>
  <c r="AQ25" i="128"/>
  <c r="AG25" i="128" s="1"/>
  <c r="S25" i="128"/>
  <c r="M25" i="128"/>
  <c r="AQ24" i="128"/>
  <c r="AG24" i="128" s="1"/>
  <c r="S24" i="128"/>
  <c r="M24" i="128"/>
  <c r="L24" i="128" s="1"/>
  <c r="AR23" i="128"/>
  <c r="AP23" i="128"/>
  <c r="AO23" i="128"/>
  <c r="AN23" i="128"/>
  <c r="AM23" i="128"/>
  <c r="AL23" i="128"/>
  <c r="AK23" i="128"/>
  <c r="AJ23" i="128"/>
  <c r="AI23" i="128"/>
  <c r="AH23" i="128"/>
  <c r="AF23" i="128"/>
  <c r="AE23" i="128"/>
  <c r="AD23" i="128"/>
  <c r="AC23" i="128"/>
  <c r="AB23" i="128"/>
  <c r="AA23" i="128"/>
  <c r="Z23" i="128"/>
  <c r="Y23" i="128"/>
  <c r="X23" i="128"/>
  <c r="W23" i="128"/>
  <c r="V23" i="128"/>
  <c r="U23" i="128"/>
  <c r="T23" i="128"/>
  <c r="R23" i="128"/>
  <c r="Q23" i="128"/>
  <c r="P23" i="128"/>
  <c r="O23" i="128"/>
  <c r="N23" i="128"/>
  <c r="K23" i="128"/>
  <c r="J23" i="128"/>
  <c r="I23" i="128"/>
  <c r="H23" i="128"/>
  <c r="G23" i="128"/>
  <c r="F23" i="128"/>
  <c r="E23" i="128"/>
  <c r="D23" i="128"/>
  <c r="C23" i="128"/>
  <c r="AQ22" i="128"/>
  <c r="AG22" i="128" s="1"/>
  <c r="S22" i="128"/>
  <c r="M22" i="128"/>
  <c r="L22" i="128" s="1"/>
  <c r="AQ21" i="128"/>
  <c r="AG21" i="128" s="1"/>
  <c r="S21" i="128"/>
  <c r="M21" i="128"/>
  <c r="L21" i="128" s="1"/>
  <c r="AQ20" i="128"/>
  <c r="AG20" i="128" s="1"/>
  <c r="S20" i="128"/>
  <c r="M20" i="128"/>
  <c r="L20" i="128" s="1"/>
  <c r="AR19" i="128"/>
  <c r="AP19" i="128"/>
  <c r="AO19" i="128"/>
  <c r="AN19" i="128"/>
  <c r="AM19" i="128"/>
  <c r="AL19" i="128"/>
  <c r="AK19" i="128"/>
  <c r="AJ19" i="128"/>
  <c r="AI19" i="128"/>
  <c r="AH19" i="128"/>
  <c r="AF19" i="128"/>
  <c r="AE19" i="128"/>
  <c r="AD19" i="128"/>
  <c r="AC19" i="128"/>
  <c r="AB19" i="128"/>
  <c r="AA19" i="128"/>
  <c r="Z19" i="128"/>
  <c r="Y19" i="128"/>
  <c r="X19" i="128"/>
  <c r="W19" i="128"/>
  <c r="V19" i="128"/>
  <c r="U19" i="128"/>
  <c r="T19" i="128"/>
  <c r="R19" i="128"/>
  <c r="Q19" i="128"/>
  <c r="P19" i="128"/>
  <c r="O19" i="128"/>
  <c r="N19" i="128"/>
  <c r="K19" i="128"/>
  <c r="J19" i="128"/>
  <c r="I19" i="128"/>
  <c r="H19" i="128"/>
  <c r="G19" i="128"/>
  <c r="F19" i="128"/>
  <c r="E19" i="128"/>
  <c r="D19" i="128"/>
  <c r="C19" i="128"/>
  <c r="AQ17" i="128"/>
  <c r="AQ18" i="128"/>
  <c r="AQ16" i="128"/>
  <c r="AQ12" i="128" s="1"/>
  <c r="S17" i="128"/>
  <c r="S18" i="128"/>
  <c r="S16" i="128"/>
  <c r="S12" i="128" s="1"/>
  <c r="D15" i="128"/>
  <c r="E15" i="128"/>
  <c r="F15" i="128"/>
  <c r="G15" i="128"/>
  <c r="H15" i="128"/>
  <c r="I15" i="128"/>
  <c r="J15" i="128"/>
  <c r="K15" i="128"/>
  <c r="N15" i="128"/>
  <c r="O15" i="128"/>
  <c r="P15" i="128"/>
  <c r="Q15" i="128"/>
  <c r="R15" i="128"/>
  <c r="T15" i="128"/>
  <c r="U15" i="128"/>
  <c r="V15" i="128"/>
  <c r="W15" i="128"/>
  <c r="X15" i="128"/>
  <c r="Y15" i="128"/>
  <c r="Z15" i="128"/>
  <c r="AA15" i="128"/>
  <c r="AB15" i="128"/>
  <c r="AC15" i="128"/>
  <c r="AD15" i="128"/>
  <c r="AE15" i="128"/>
  <c r="AF15" i="128"/>
  <c r="AH15" i="128"/>
  <c r="AI15" i="128"/>
  <c r="AJ15" i="128"/>
  <c r="AK15" i="128"/>
  <c r="AL15" i="128"/>
  <c r="AM15" i="128"/>
  <c r="AN15" i="128"/>
  <c r="AO15" i="128"/>
  <c r="AP15" i="128"/>
  <c r="AR15" i="128"/>
  <c r="C15" i="128"/>
  <c r="M17" i="128"/>
  <c r="M13" i="128" s="1"/>
  <c r="M18" i="128"/>
  <c r="M16" i="128"/>
  <c r="M23" i="128" l="1"/>
  <c r="L16" i="128"/>
  <c r="L12" i="128" s="1"/>
  <c r="M12" i="128"/>
  <c r="AG18" i="128"/>
  <c r="AG14" i="128" s="1"/>
  <c r="AQ14" i="128"/>
  <c r="L18" i="128"/>
  <c r="L14" i="128" s="1"/>
  <c r="M14" i="128"/>
  <c r="M11" i="128" s="1"/>
  <c r="M10" i="128" s="1"/>
  <c r="S14" i="128"/>
  <c r="AG17" i="128"/>
  <c r="AG13" i="128" s="1"/>
  <c r="AQ13" i="128"/>
  <c r="S13" i="128"/>
  <c r="S27" i="128"/>
  <c r="AG27" i="128"/>
  <c r="L27" i="128"/>
  <c r="M27" i="128"/>
  <c r="AQ27" i="128"/>
  <c r="S23" i="128"/>
  <c r="L25" i="128"/>
  <c r="L23" i="128"/>
  <c r="AG23" i="128"/>
  <c r="AQ23" i="128"/>
  <c r="S19" i="128"/>
  <c r="AQ19" i="128"/>
  <c r="AG19" i="128"/>
  <c r="S15" i="128"/>
  <c r="L19" i="128"/>
  <c r="M19" i="128"/>
  <c r="M15" i="128"/>
  <c r="L17" i="128"/>
  <c r="AQ15" i="128"/>
  <c r="AG16" i="128"/>
  <c r="AG12" i="128" s="1"/>
  <c r="A4" i="127"/>
  <c r="C11" i="127"/>
  <c r="C10" i="127"/>
  <c r="A1" i="127"/>
  <c r="A1" i="126"/>
  <c r="C43" i="99"/>
  <c r="AG11" i="128" l="1"/>
  <c r="AG10" i="128" s="1"/>
  <c r="AG9" i="128" s="1"/>
  <c r="AQ11" i="128"/>
  <c r="AQ10" i="128" s="1"/>
  <c r="AQ9" i="128" s="1"/>
  <c r="S11" i="128"/>
  <c r="S10" i="128" s="1"/>
  <c r="S9" i="128" s="1"/>
  <c r="AG15" i="128"/>
  <c r="L15" i="128"/>
  <c r="L13" i="128"/>
  <c r="L11" i="128" s="1"/>
  <c r="L10" i="128" s="1"/>
  <c r="G17" i="125"/>
  <c r="H17" i="125"/>
  <c r="I17" i="125"/>
  <c r="C17" i="125"/>
  <c r="D26" i="125"/>
  <c r="F26" i="125" s="1"/>
  <c r="E17" i="125"/>
  <c r="D11" i="125"/>
  <c r="E11" i="125"/>
  <c r="G11" i="125"/>
  <c r="H11" i="125"/>
  <c r="H10" i="125" s="1"/>
  <c r="I11" i="125"/>
  <c r="I10" i="125" s="1"/>
  <c r="C11" i="125"/>
  <c r="C10" i="125" l="1"/>
  <c r="G10" i="125"/>
  <c r="E10" i="125"/>
  <c r="F16" i="125" l="1"/>
  <c r="F13" i="125" l="1"/>
  <c r="F14" i="125"/>
  <c r="F15" i="125"/>
  <c r="F19" i="125"/>
  <c r="F20" i="125"/>
  <c r="F21" i="125"/>
  <c r="F22" i="125"/>
  <c r="F23" i="125"/>
  <c r="F24" i="125"/>
  <c r="F25" i="125"/>
  <c r="F27" i="125"/>
  <c r="F28" i="125"/>
  <c r="F29" i="125"/>
  <c r="F30" i="125"/>
  <c r="F31" i="125"/>
  <c r="F32" i="125"/>
  <c r="F33" i="125"/>
  <c r="F34" i="125"/>
  <c r="F35" i="125"/>
  <c r="F36" i="125"/>
  <c r="F37" i="125"/>
  <c r="F12" i="125"/>
  <c r="D20" i="124"/>
  <c r="C20" i="124"/>
  <c r="C24" i="124"/>
  <c r="C23" i="99"/>
  <c r="F11" i="125" l="1"/>
  <c r="D18" i="125"/>
  <c r="F18" i="125" l="1"/>
  <c r="F17" i="125" s="1"/>
  <c r="F10" i="125" s="1"/>
  <c r="D17" i="125"/>
  <c r="D10" i="125" s="1"/>
  <c r="A4" i="125"/>
  <c r="A1" i="125"/>
  <c r="A1" i="124"/>
  <c r="C22" i="99" l="1"/>
  <c r="E32" i="124"/>
  <c r="C38" i="99"/>
  <c r="C34" i="99"/>
  <c r="E28" i="124"/>
  <c r="E9" i="124"/>
  <c r="D28" i="124"/>
  <c r="C10" i="99"/>
  <c r="D32" i="124"/>
  <c r="D25" i="124"/>
  <c r="D14" i="124"/>
  <c r="D9" i="124"/>
  <c r="C10" i="124"/>
  <c r="C9" i="124" s="1"/>
  <c r="C11" i="124"/>
  <c r="C12" i="124"/>
  <c r="C13" i="124"/>
  <c r="C15" i="124"/>
  <c r="C16" i="124"/>
  <c r="C17" i="124"/>
  <c r="C18" i="124"/>
  <c r="C21" i="124"/>
  <c r="C22" i="124"/>
  <c r="C23" i="124"/>
  <c r="C26" i="124"/>
  <c r="C27" i="124"/>
  <c r="C29" i="124"/>
  <c r="C30" i="124"/>
  <c r="C31" i="124"/>
  <c r="C33" i="124"/>
  <c r="C32" i="124" s="1"/>
  <c r="C34" i="124"/>
  <c r="C35" i="124"/>
  <c r="C36" i="124"/>
  <c r="E20" i="124"/>
  <c r="E25" i="124"/>
  <c r="E14" i="124"/>
  <c r="E8" i="124" s="1"/>
  <c r="C14" i="124" l="1"/>
  <c r="D19" i="124"/>
  <c r="C28" i="124"/>
  <c r="C25" i="124"/>
  <c r="C19" i="124"/>
  <c r="E19" i="124"/>
  <c r="E7" i="124" s="1"/>
  <c r="D8" i="124"/>
  <c r="A3" i="124"/>
  <c r="D7" i="124" l="1"/>
  <c r="C8" i="124"/>
  <c r="C7" i="124" s="1"/>
  <c r="A3" i="122" l="1"/>
  <c r="X17" i="122"/>
  <c r="W17" i="122"/>
  <c r="Q17" i="122"/>
  <c r="K17" i="122"/>
  <c r="O17" i="122" s="1"/>
  <c r="O16" i="122" s="1"/>
  <c r="X16" i="122"/>
  <c r="X15" i="122" s="1"/>
  <c r="X14" i="122" s="1"/>
  <c r="X9" i="122" s="1"/>
  <c r="W16" i="122"/>
  <c r="W13" i="122" s="1"/>
  <c r="W12" i="122" s="1"/>
  <c r="T16" i="122"/>
  <c r="T13" i="122" s="1"/>
  <c r="T12" i="122" s="1"/>
  <c r="S16" i="122"/>
  <c r="R16" i="122"/>
  <c r="P16" i="122"/>
  <c r="P15" i="122" s="1"/>
  <c r="P14" i="122" s="1"/>
  <c r="P9" i="122" s="1"/>
  <c r="N16" i="122"/>
  <c r="M16" i="122"/>
  <c r="M15" i="122" s="1"/>
  <c r="M14" i="122" s="1"/>
  <c r="M9" i="122" s="1"/>
  <c r="L16" i="122"/>
  <c r="L15" i="122" s="1"/>
  <c r="L14" i="122" s="1"/>
  <c r="L9" i="122" s="1"/>
  <c r="K16" i="122"/>
  <c r="K13" i="122" s="1"/>
  <c r="K12" i="122" s="1"/>
  <c r="J16" i="122"/>
  <c r="I16" i="122"/>
  <c r="H16" i="122"/>
  <c r="H15" i="122" s="1"/>
  <c r="H14" i="122" s="1"/>
  <c r="H9" i="122" s="1"/>
  <c r="G16" i="122"/>
  <c r="G13" i="122" s="1"/>
  <c r="G12" i="122" s="1"/>
  <c r="F16" i="122"/>
  <c r="E16" i="122"/>
  <c r="E15" i="122" s="1"/>
  <c r="E14" i="122" s="1"/>
  <c r="E9" i="122" s="1"/>
  <c r="W15" i="122"/>
  <c r="T15" i="122"/>
  <c r="T14" i="122" s="1"/>
  <c r="T9" i="122" s="1"/>
  <c r="S15" i="122"/>
  <c r="R15" i="122"/>
  <c r="R14" i="122" s="1"/>
  <c r="R9" i="122" s="1"/>
  <c r="N15" i="122"/>
  <c r="N14" i="122" s="1"/>
  <c r="N9" i="122" s="1"/>
  <c r="J15" i="122"/>
  <c r="J14" i="122" s="1"/>
  <c r="J9" i="122" s="1"/>
  <c r="I15" i="122"/>
  <c r="F15" i="122"/>
  <c r="F14" i="122" s="1"/>
  <c r="F9" i="122" s="1"/>
  <c r="W14" i="122"/>
  <c r="V14" i="122"/>
  <c r="V9" i="122" s="1"/>
  <c r="S14" i="122"/>
  <c r="I14" i="122"/>
  <c r="I9" i="122" s="1"/>
  <c r="X13" i="122"/>
  <c r="X12" i="122" s="1"/>
  <c r="V13" i="122"/>
  <c r="V12" i="122" s="1"/>
  <c r="S13" i="122"/>
  <c r="S12" i="122" s="1"/>
  <c r="R13" i="122"/>
  <c r="N13" i="122"/>
  <c r="N12" i="122" s="1"/>
  <c r="M13" i="122"/>
  <c r="M12" i="122" s="1"/>
  <c r="L13" i="122"/>
  <c r="L12" i="122" s="1"/>
  <c r="J13" i="122"/>
  <c r="I13" i="122"/>
  <c r="I12" i="122" s="1"/>
  <c r="F13" i="122"/>
  <c r="F12" i="122" s="1"/>
  <c r="E13" i="122"/>
  <c r="R12" i="122"/>
  <c r="J12" i="122"/>
  <c r="E12" i="122"/>
  <c r="W9" i="122"/>
  <c r="S9" i="122"/>
  <c r="O13" i="122" l="1"/>
  <c r="O12" i="122" s="1"/>
  <c r="O15" i="122"/>
  <c r="O14" i="122" s="1"/>
  <c r="O9" i="122" s="1"/>
  <c r="K15" i="122"/>
  <c r="K14" i="122" s="1"/>
  <c r="K9" i="122" s="1"/>
  <c r="Y17" i="122"/>
  <c r="Y16" i="122" s="1"/>
  <c r="G15" i="122"/>
  <c r="G14" i="122" s="1"/>
  <c r="G9" i="122" s="1"/>
  <c r="Y15" i="122"/>
  <c r="Y14" i="122" s="1"/>
  <c r="Y9" i="122" s="1"/>
  <c r="Y13" i="122"/>
  <c r="Y12" i="122" s="1"/>
  <c r="Q16" i="122"/>
  <c r="H13" i="122"/>
  <c r="H12" i="122" s="1"/>
  <c r="P13" i="122"/>
  <c r="P12" i="122" s="1"/>
  <c r="U17" i="122"/>
  <c r="U16" i="122" s="1"/>
  <c r="U13" i="122" l="1"/>
  <c r="U12" i="122" s="1"/>
  <c r="U15" i="122"/>
  <c r="U14" i="122" s="1"/>
  <c r="U9" i="122" s="1"/>
  <c r="Q15" i="122"/>
  <c r="Q14" i="122" s="1"/>
  <c r="Q9" i="122" s="1"/>
  <c r="Q13" i="122"/>
  <c r="Q12" i="122" s="1"/>
  <c r="S8" i="83" l="1"/>
  <c r="P11" i="85" l="1"/>
  <c r="A3" i="64" l="1"/>
  <c r="A3" i="63"/>
  <c r="C41" i="64" l="1"/>
  <c r="C68" i="64" l="1"/>
  <c r="C61" i="64" l="1"/>
  <c r="C58" i="64" l="1"/>
  <c r="C43" i="64"/>
  <c r="C12" i="64" l="1"/>
  <c r="C66" i="64"/>
  <c r="C9" i="64"/>
  <c r="G18" i="64"/>
  <c r="C24" i="99" l="1"/>
  <c r="C11" i="99" l="1"/>
  <c r="H13" i="63"/>
  <c r="H31" i="63"/>
  <c r="H12" i="63" l="1"/>
  <c r="C16" i="99"/>
  <c r="C31" i="99"/>
  <c r="C28" i="99"/>
  <c r="G62" i="68" l="1"/>
  <c r="H62" i="68"/>
  <c r="C62" i="68"/>
  <c r="F13" i="68"/>
  <c r="F14" i="68"/>
  <c r="F15" i="68"/>
  <c r="F16" i="68"/>
  <c r="F17" i="68"/>
  <c r="F18" i="68"/>
  <c r="F19" i="68"/>
  <c r="F20" i="68"/>
  <c r="F21" i="68"/>
  <c r="F22" i="68"/>
  <c r="F23" i="68"/>
  <c r="F24" i="68"/>
  <c r="F25" i="68"/>
  <c r="F26" i="68"/>
  <c r="F27" i="68"/>
  <c r="F28" i="68"/>
  <c r="F29" i="68"/>
  <c r="F30" i="68"/>
  <c r="F31" i="68"/>
  <c r="F32" i="68"/>
  <c r="F35" i="68"/>
  <c r="F36" i="68"/>
  <c r="C8" i="68" l="1"/>
  <c r="D14" i="65" l="1"/>
  <c r="D25" i="65" s="1"/>
  <c r="D23" i="65" s="1"/>
  <c r="D13" i="66"/>
  <c r="C13" i="66" s="1"/>
  <c r="C26" i="66"/>
  <c r="C20" i="66"/>
  <c r="C21" i="66"/>
  <c r="C22" i="66"/>
  <c r="C23" i="66"/>
  <c r="C24" i="66"/>
  <c r="C25" i="66"/>
  <c r="C27" i="66"/>
  <c r="D35" i="75" l="1"/>
  <c r="C35" i="75"/>
  <c r="C32" i="75"/>
  <c r="C30" i="75" s="1"/>
  <c r="C26" i="75"/>
  <c r="C25" i="75"/>
  <c r="C23" i="75"/>
  <c r="C21" i="75" s="1"/>
  <c r="C15" i="75"/>
  <c r="C14" i="75"/>
  <c r="F35" i="75" l="1"/>
  <c r="D10" i="58"/>
  <c r="H13" i="77" l="1"/>
  <c r="H14" i="77"/>
  <c r="H17" i="77"/>
  <c r="H18" i="77"/>
  <c r="H19" i="77"/>
  <c r="H21" i="77"/>
  <c r="H22" i="77"/>
  <c r="H23" i="77"/>
  <c r="H24" i="77"/>
  <c r="H25" i="77"/>
  <c r="H26" i="77"/>
  <c r="H27" i="77"/>
  <c r="H29" i="77"/>
  <c r="H30" i="77"/>
  <c r="F36" i="77"/>
  <c r="F32" i="77"/>
  <c r="D11" i="75" s="1"/>
  <c r="F39" i="77"/>
  <c r="F38" i="77"/>
  <c r="E14" i="77"/>
  <c r="G14" i="77" s="1"/>
  <c r="E31" i="77"/>
  <c r="C20" i="77"/>
  <c r="C16" i="77"/>
  <c r="C12" i="77" s="1"/>
  <c r="C11" i="77" s="1"/>
  <c r="C13" i="77"/>
  <c r="H32" i="77" l="1"/>
  <c r="C10" i="77"/>
  <c r="F13" i="77"/>
  <c r="F20" i="77"/>
  <c r="H20" i="77" s="1"/>
  <c r="F16" i="77"/>
  <c r="H16" i="77" s="1"/>
  <c r="D37" i="78" l="1"/>
  <c r="D36" i="78"/>
  <c r="D16" i="78"/>
  <c r="C35" i="78"/>
  <c r="D35" i="78" l="1"/>
  <c r="D28" i="79" l="1"/>
  <c r="E28" i="79" s="1"/>
  <c r="D23" i="79"/>
  <c r="D14" i="79"/>
  <c r="C41" i="79"/>
  <c r="C40" i="79"/>
  <c r="E15" i="80" l="1"/>
  <c r="D15" i="80"/>
  <c r="D35" i="80" l="1"/>
  <c r="E35" i="80"/>
  <c r="E36" i="80"/>
  <c r="E37" i="80"/>
  <c r="C25" i="80" l="1"/>
  <c r="D27" i="80" l="1"/>
  <c r="E11" i="85"/>
  <c r="I11" i="85"/>
  <c r="H9" i="63"/>
  <c r="D26" i="80" s="1"/>
  <c r="H8" i="63" l="1"/>
  <c r="M14" i="81" s="1"/>
  <c r="J14" i="81" s="1"/>
  <c r="D31" i="75"/>
  <c r="E31" i="75" s="1"/>
  <c r="D27" i="78"/>
  <c r="E27" i="80"/>
  <c r="D28" i="78"/>
  <c r="D26" i="78" s="1"/>
  <c r="AA42" i="89"/>
  <c r="AA44" i="89"/>
  <c r="AA43" i="89"/>
  <c r="D23" i="80"/>
  <c r="C11" i="80"/>
  <c r="C10" i="80" s="1"/>
  <c r="D9" i="82"/>
  <c r="E9" i="82"/>
  <c r="M9" i="82"/>
  <c r="N9" i="82"/>
  <c r="C9" i="82"/>
  <c r="M13" i="82"/>
  <c r="D10" i="82"/>
  <c r="E10" i="82"/>
  <c r="M10" i="82"/>
  <c r="N10" i="82"/>
  <c r="C10" i="82"/>
  <c r="M11" i="82"/>
  <c r="D14" i="82"/>
  <c r="D13" i="82" s="1"/>
  <c r="H10" i="81"/>
  <c r="F10" i="81"/>
  <c r="E10" i="81"/>
  <c r="G10" i="81"/>
  <c r="L34" i="81"/>
  <c r="J19" i="81"/>
  <c r="K16" i="81"/>
  <c r="K18" i="81"/>
  <c r="K19" i="81"/>
  <c r="K20" i="81"/>
  <c r="K21" i="81"/>
  <c r="K22" i="81"/>
  <c r="K23" i="81"/>
  <c r="K24" i="81"/>
  <c r="K25" i="81"/>
  <c r="K26" i="81"/>
  <c r="K27" i="81"/>
  <c r="M12" i="81"/>
  <c r="O12" i="81"/>
  <c r="N17" i="81"/>
  <c r="K17" i="81" s="1"/>
  <c r="N15" i="81"/>
  <c r="K15" i="81" s="1"/>
  <c r="N13" i="81"/>
  <c r="C9" i="80" l="1"/>
  <c r="C8" i="80" s="1"/>
  <c r="K13" i="81"/>
  <c r="C33" i="81" l="1"/>
  <c r="C32" i="81"/>
  <c r="E31" i="81"/>
  <c r="E30" i="81"/>
  <c r="H17" i="81"/>
  <c r="E17" i="81" s="1"/>
  <c r="H15" i="81"/>
  <c r="E15" i="81" s="1"/>
  <c r="H14" i="81"/>
  <c r="E14" i="81" s="1"/>
  <c r="H13" i="81"/>
  <c r="E16" i="81"/>
  <c r="E18" i="81"/>
  <c r="E19" i="81"/>
  <c r="E20" i="81"/>
  <c r="E21" i="81"/>
  <c r="E22" i="81"/>
  <c r="E23" i="81"/>
  <c r="E24" i="81"/>
  <c r="E25" i="81"/>
  <c r="C25" i="81" s="1"/>
  <c r="E26" i="81"/>
  <c r="E27" i="81"/>
  <c r="E28" i="81"/>
  <c r="D19" i="81"/>
  <c r="D14" i="81"/>
  <c r="D12" i="81" s="1"/>
  <c r="D11" i="81" l="1"/>
  <c r="D10" i="81" s="1"/>
  <c r="H12" i="81"/>
  <c r="E13" i="81"/>
  <c r="G54" i="121" l="1"/>
  <c r="E54" i="121" s="1"/>
  <c r="H19" i="58" s="1"/>
  <c r="F19" i="58" s="1"/>
  <c r="G60" i="121"/>
  <c r="H18" i="58" s="1"/>
  <c r="F18" i="58" s="1"/>
  <c r="G49" i="121"/>
  <c r="E49" i="121" s="1"/>
  <c r="G47" i="121"/>
  <c r="E47" i="121" s="1"/>
  <c r="G44" i="121"/>
  <c r="E44" i="121" s="1"/>
  <c r="G43" i="121"/>
  <c r="E43" i="121" s="1"/>
  <c r="G42" i="121"/>
  <c r="E42" i="121" s="1"/>
  <c r="G39" i="121"/>
  <c r="E39" i="121" s="1"/>
  <c r="G38" i="121"/>
  <c r="E38" i="121" s="1"/>
  <c r="G37" i="121"/>
  <c r="E37" i="121" s="1"/>
  <c r="D36" i="121"/>
  <c r="C36" i="121"/>
  <c r="C9" i="121" s="1"/>
  <c r="C29" i="79" l="1"/>
  <c r="D9" i="121"/>
  <c r="G36" i="121"/>
  <c r="D28" i="75"/>
  <c r="E28" i="75" s="1"/>
  <c r="D43" i="79"/>
  <c r="E43" i="79" s="1"/>
  <c r="D19" i="80"/>
  <c r="D20" i="78" s="1"/>
  <c r="I34" i="81"/>
  <c r="E34" i="121"/>
  <c r="G30" i="121"/>
  <c r="E30" i="121" s="1"/>
  <c r="C10" i="121"/>
  <c r="C61" i="121" s="1"/>
  <c r="H11" i="87"/>
  <c r="G11" i="87"/>
  <c r="Y11" i="86"/>
  <c r="J10" i="86"/>
  <c r="Q11" i="86"/>
  <c r="D12" i="80" l="1"/>
  <c r="D13" i="78" s="1"/>
  <c r="F12" i="58"/>
  <c r="D11" i="86"/>
  <c r="I11" i="86"/>
  <c r="H16" i="121" l="1"/>
  <c r="I16" i="121"/>
  <c r="G11" i="86"/>
  <c r="E11" i="86" s="1"/>
  <c r="C11" i="86" s="1"/>
  <c r="D10" i="85" l="1"/>
  <c r="Q10" i="85"/>
  <c r="G14" i="88"/>
  <c r="H14" i="88"/>
  <c r="G15" i="88"/>
  <c r="H15" i="88"/>
  <c r="G12" i="88"/>
  <c r="H12" i="88"/>
  <c r="M12" i="88"/>
  <c r="I12" i="88"/>
  <c r="E13" i="88"/>
  <c r="E14" i="88"/>
  <c r="D11" i="88" l="1"/>
  <c r="K11" i="88"/>
  <c r="L11" i="88"/>
  <c r="N11" i="88"/>
  <c r="O11" i="88"/>
  <c r="R11" i="88"/>
  <c r="S11" i="88"/>
  <c r="U11" i="88"/>
  <c r="V11" i="88"/>
  <c r="Y12" i="88" l="1"/>
  <c r="H33" i="89"/>
  <c r="I33" i="89"/>
  <c r="J33" i="89"/>
  <c r="K33" i="89"/>
  <c r="L33" i="89"/>
  <c r="N33" i="89"/>
  <c r="O33" i="89"/>
  <c r="P33" i="89"/>
  <c r="S33" i="89"/>
  <c r="T33" i="89"/>
  <c r="U33" i="89"/>
  <c r="X33" i="89"/>
  <c r="Y33" i="89"/>
  <c r="Z33" i="89"/>
  <c r="AB33" i="89"/>
  <c r="L10" i="90" l="1"/>
  <c r="I19" i="90"/>
  <c r="M19" i="90" s="1"/>
  <c r="E14" i="90"/>
  <c r="G14" i="90"/>
  <c r="G22" i="90"/>
  <c r="G21" i="90"/>
  <c r="G20" i="90"/>
  <c r="G18" i="90"/>
  <c r="G17" i="90"/>
  <c r="G16" i="90"/>
  <c r="G15" i="90"/>
  <c r="D14" i="90"/>
  <c r="G11" i="90"/>
  <c r="N15" i="90"/>
  <c r="N16" i="90"/>
  <c r="N17" i="90"/>
  <c r="N18" i="90"/>
  <c r="N20" i="90"/>
  <c r="N21" i="90"/>
  <c r="N22" i="90"/>
  <c r="N11" i="90"/>
  <c r="N12" i="90"/>
  <c r="N13" i="90"/>
  <c r="H14" i="90" l="1"/>
  <c r="H22" i="90"/>
  <c r="H21" i="90"/>
  <c r="H20" i="90"/>
  <c r="J19" i="90"/>
  <c r="J10" i="90" s="1"/>
  <c r="G19" i="90"/>
  <c r="G10" i="90" s="1"/>
  <c r="E19" i="90"/>
  <c r="E10" i="90" s="1"/>
  <c r="D19" i="90"/>
  <c r="D10" i="90" s="1"/>
  <c r="H18" i="90"/>
  <c r="H17" i="90"/>
  <c r="H16" i="90"/>
  <c r="H15" i="90"/>
  <c r="I14" i="90"/>
  <c r="H13" i="90"/>
  <c r="H12" i="90"/>
  <c r="H11" i="90"/>
  <c r="A1" i="90"/>
  <c r="N14" i="90" l="1"/>
  <c r="I10" i="90"/>
  <c r="N19" i="90"/>
  <c r="H19" i="90"/>
  <c r="H10" i="90" s="1"/>
  <c r="M10" i="90" l="1"/>
  <c r="N10" i="90"/>
  <c r="L11" i="85"/>
  <c r="L10" i="85" s="1"/>
  <c r="J11" i="85"/>
  <c r="J10" i="85" s="1"/>
  <c r="N11" i="82"/>
  <c r="E11" i="82"/>
  <c r="D12" i="82"/>
  <c r="F10" i="85" l="1"/>
  <c r="C11" i="85" l="1"/>
  <c r="D13" i="84"/>
  <c r="C13" i="84" s="1"/>
  <c r="H30" i="84"/>
  <c r="H29" i="84"/>
  <c r="I29" i="84" s="1"/>
  <c r="K29" i="84" s="1"/>
  <c r="H26" i="84"/>
  <c r="I26" i="84" s="1"/>
  <c r="J18" i="84"/>
  <c r="J14" i="84"/>
  <c r="J26" i="84"/>
  <c r="J22" i="84"/>
  <c r="J24" i="84"/>
  <c r="J23" i="84"/>
  <c r="H13" i="84"/>
  <c r="H14" i="84"/>
  <c r="H15" i="84"/>
  <c r="H16" i="84"/>
  <c r="H17" i="84"/>
  <c r="H18" i="84"/>
  <c r="H19" i="84"/>
  <c r="H20" i="84"/>
  <c r="H21" i="84"/>
  <c r="H22" i="84"/>
  <c r="H23" i="84"/>
  <c r="H24" i="84"/>
  <c r="H25" i="84"/>
  <c r="H12" i="84"/>
  <c r="O11" i="85" l="1"/>
  <c r="H7" i="63"/>
  <c r="R11" i="86"/>
  <c r="Z11" i="86" s="1"/>
  <c r="J13" i="59"/>
  <c r="E36" i="59"/>
  <c r="E37" i="77" s="1"/>
  <c r="D19" i="59"/>
  <c r="D15" i="59"/>
  <c r="D12" i="59"/>
  <c r="D11" i="59" s="1"/>
  <c r="D10" i="59" s="1"/>
  <c r="D9" i="59" s="1"/>
  <c r="M11" i="85" l="1"/>
  <c r="V11" i="85" s="1"/>
  <c r="K11" i="85"/>
  <c r="U11" i="85" s="1"/>
  <c r="AC33" i="89" l="1"/>
  <c r="AD33" i="89"/>
  <c r="AA38" i="89"/>
  <c r="W38" i="89"/>
  <c r="V38" i="89"/>
  <c r="V37" i="89" s="1"/>
  <c r="V36" i="89" s="1"/>
  <c r="Q38" i="89"/>
  <c r="M38" i="89" s="1"/>
  <c r="M37" i="89" s="1"/>
  <c r="M36" i="89" s="1"/>
  <c r="G38" i="89"/>
  <c r="G37" i="89" s="1"/>
  <c r="G36" i="89" s="1"/>
  <c r="BE37" i="89"/>
  <c r="BD37" i="89"/>
  <c r="BD36" i="89" s="1"/>
  <c r="BC37" i="89"/>
  <c r="BB37" i="89"/>
  <c r="BA37" i="89"/>
  <c r="BA36" i="89" s="1"/>
  <c r="AZ37" i="89"/>
  <c r="AZ36" i="89" s="1"/>
  <c r="AY37" i="89"/>
  <c r="AY36" i="89" s="1"/>
  <c r="AX37" i="89"/>
  <c r="AX36" i="89" s="1"/>
  <c r="AW37" i="89"/>
  <c r="AV37" i="89"/>
  <c r="AU37" i="89"/>
  <c r="AT37" i="89"/>
  <c r="AT36" i="89" s="1"/>
  <c r="AS37" i="89"/>
  <c r="AS36" i="89" s="1"/>
  <c r="AR37" i="89"/>
  <c r="AR36" i="89" s="1"/>
  <c r="AQ37" i="89"/>
  <c r="AQ36" i="89" s="1"/>
  <c r="AP37" i="89"/>
  <c r="AP36" i="89" s="1"/>
  <c r="AO37" i="89"/>
  <c r="AN37" i="89"/>
  <c r="AM37" i="89"/>
  <c r="AM36" i="89" s="1"/>
  <c r="AL37" i="89"/>
  <c r="AK37" i="89"/>
  <c r="AK36" i="89" s="1"/>
  <c r="AJ37" i="89"/>
  <c r="AJ36" i="89" s="1"/>
  <c r="AI37" i="89"/>
  <c r="AI36" i="89" s="1"/>
  <c r="AH37" i="89"/>
  <c r="AH36" i="89" s="1"/>
  <c r="AG37" i="89"/>
  <c r="AF37" i="89"/>
  <c r="AE37" i="89"/>
  <c r="AE36" i="89" s="1"/>
  <c r="AD37" i="89"/>
  <c r="AD36" i="89" s="1"/>
  <c r="AC37" i="89"/>
  <c r="AC36" i="89" s="1"/>
  <c r="AB37" i="89"/>
  <c r="AB36" i="89" s="1"/>
  <c r="AA37" i="89"/>
  <c r="Z37" i="89"/>
  <c r="Z36" i="89" s="1"/>
  <c r="Y37" i="89"/>
  <c r="X37" i="89"/>
  <c r="W37" i="89"/>
  <c r="U37" i="89"/>
  <c r="U36" i="89" s="1"/>
  <c r="T37" i="89"/>
  <c r="T36" i="89" s="1"/>
  <c r="S37" i="89"/>
  <c r="S36" i="89" s="1"/>
  <c r="P37" i="89"/>
  <c r="P36" i="89" s="1"/>
  <c r="O37" i="89"/>
  <c r="O36" i="89" s="1"/>
  <c r="N37" i="89"/>
  <c r="N36" i="89" s="1"/>
  <c r="L37" i="89"/>
  <c r="L36" i="89" s="1"/>
  <c r="K37" i="89"/>
  <c r="K36" i="89" s="1"/>
  <c r="J37" i="89"/>
  <c r="J36" i="89" s="1"/>
  <c r="I37" i="89"/>
  <c r="I36" i="89" s="1"/>
  <c r="H37" i="89"/>
  <c r="H36" i="89" s="1"/>
  <c r="BE36" i="89"/>
  <c r="BC36" i="89"/>
  <c r="BB36" i="89"/>
  <c r="AW36" i="89"/>
  <c r="AV36" i="89"/>
  <c r="AU36" i="89"/>
  <c r="AO36" i="89"/>
  <c r="AN36" i="89"/>
  <c r="AL36" i="89"/>
  <c r="AG36" i="89"/>
  <c r="AF36" i="89"/>
  <c r="Y36" i="89"/>
  <c r="X36" i="89"/>
  <c r="W36" i="89"/>
  <c r="AA35" i="89"/>
  <c r="W35" i="89"/>
  <c r="V35" i="89"/>
  <c r="Q35" i="89"/>
  <c r="G35" i="89"/>
  <c r="R38" i="89" l="1"/>
  <c r="R37" i="89" s="1"/>
  <c r="R36" i="89" s="1"/>
  <c r="R35" i="89"/>
  <c r="V33" i="89"/>
  <c r="M35" i="89"/>
  <c r="Q33" i="89"/>
  <c r="AA36" i="89"/>
  <c r="Q37" i="89"/>
  <c r="Q36" i="89" s="1"/>
  <c r="H45" i="89"/>
  <c r="I45" i="89"/>
  <c r="J45" i="89"/>
  <c r="K45" i="89"/>
  <c r="L45" i="89"/>
  <c r="N45" i="89"/>
  <c r="O45" i="89"/>
  <c r="P45" i="89"/>
  <c r="Q45" i="89"/>
  <c r="S45" i="89"/>
  <c r="T45" i="89"/>
  <c r="U45" i="89"/>
  <c r="V45" i="89"/>
  <c r="X45" i="89"/>
  <c r="Y45" i="89"/>
  <c r="Z45" i="89"/>
  <c r="AB45" i="89"/>
  <c r="AC45" i="89"/>
  <c r="AD45" i="89"/>
  <c r="AA46" i="89" l="1"/>
  <c r="AA45" i="89" s="1"/>
  <c r="W46" i="89"/>
  <c r="W45" i="89" s="1"/>
  <c r="R46" i="89"/>
  <c r="R45" i="89" s="1"/>
  <c r="M46" i="89"/>
  <c r="M45" i="89" s="1"/>
  <c r="G46" i="89"/>
  <c r="G45" i="89" s="1"/>
  <c r="H41" i="89"/>
  <c r="I41" i="89"/>
  <c r="J41" i="89"/>
  <c r="K41" i="89"/>
  <c r="L41" i="89"/>
  <c r="N41" i="89"/>
  <c r="O41" i="89"/>
  <c r="P41" i="89"/>
  <c r="Q41" i="89"/>
  <c r="S41" i="89"/>
  <c r="T41" i="89"/>
  <c r="U41" i="89"/>
  <c r="V41" i="89"/>
  <c r="X41" i="89"/>
  <c r="Y41" i="89"/>
  <c r="Z41" i="89"/>
  <c r="AA41" i="89"/>
  <c r="AB41" i="89"/>
  <c r="AC41" i="89"/>
  <c r="AD41" i="89"/>
  <c r="AE41" i="89"/>
  <c r="AF41" i="89"/>
  <c r="AG41" i="89"/>
  <c r="AH41" i="89"/>
  <c r="AI41" i="89"/>
  <c r="AJ41" i="89"/>
  <c r="AK41" i="89"/>
  <c r="AL41" i="89"/>
  <c r="AM41" i="89"/>
  <c r="AN41" i="89"/>
  <c r="AO41" i="89"/>
  <c r="AP41" i="89"/>
  <c r="AQ41" i="89"/>
  <c r="AR41" i="89"/>
  <c r="AS41" i="89"/>
  <c r="AT41" i="89"/>
  <c r="AU41" i="89"/>
  <c r="AV41" i="89"/>
  <c r="AW41" i="89"/>
  <c r="AX41" i="89"/>
  <c r="AY41" i="89"/>
  <c r="AZ41" i="89"/>
  <c r="BA41" i="89"/>
  <c r="BB41" i="89"/>
  <c r="BC41" i="89"/>
  <c r="BD41" i="89"/>
  <c r="BE41" i="89"/>
  <c r="H43" i="89"/>
  <c r="I43" i="89"/>
  <c r="J43" i="89"/>
  <c r="K43" i="89"/>
  <c r="L43" i="89"/>
  <c r="N43" i="89"/>
  <c r="O43" i="89"/>
  <c r="O40" i="89" s="1"/>
  <c r="O39" i="89" s="1"/>
  <c r="P43" i="89"/>
  <c r="Q43" i="89"/>
  <c r="S43" i="89"/>
  <c r="T43" i="89"/>
  <c r="U43" i="89"/>
  <c r="V43" i="89"/>
  <c r="X43" i="89"/>
  <c r="Y43" i="89"/>
  <c r="Z43" i="89"/>
  <c r="AB43" i="89"/>
  <c r="AC43" i="89"/>
  <c r="AD43" i="89"/>
  <c r="R44" i="89"/>
  <c r="R43" i="89" s="1"/>
  <c r="W44" i="89"/>
  <c r="W43" i="89" s="1"/>
  <c r="M44" i="89"/>
  <c r="M43" i="89" s="1"/>
  <c r="G44" i="89"/>
  <c r="G43" i="89" s="1"/>
  <c r="W42" i="89"/>
  <c r="W41" i="89" s="1"/>
  <c r="R42" i="89"/>
  <c r="R41" i="89" s="1"/>
  <c r="M42" i="89"/>
  <c r="M41" i="89" s="1"/>
  <c r="G42" i="89"/>
  <c r="G41" i="89" s="1"/>
  <c r="G34" i="89"/>
  <c r="AA34" i="89"/>
  <c r="AA33" i="89" s="1"/>
  <c r="W34" i="89"/>
  <c r="R34" i="89"/>
  <c r="M34" i="89"/>
  <c r="AD32" i="89"/>
  <c r="AC32" i="89"/>
  <c r="AB32" i="89"/>
  <c r="X32" i="89"/>
  <c r="U32" i="89"/>
  <c r="T32" i="89"/>
  <c r="S32" i="89"/>
  <c r="Q32" i="89"/>
  <c r="P32" i="89"/>
  <c r="O32" i="89"/>
  <c r="N32" i="89"/>
  <c r="L32" i="89"/>
  <c r="K32" i="89"/>
  <c r="J32" i="89"/>
  <c r="I32" i="89"/>
  <c r="H32" i="89"/>
  <c r="Z32" i="89"/>
  <c r="BG31" i="89"/>
  <c r="AA31" i="89"/>
  <c r="AA30" i="89" s="1"/>
  <c r="W31" i="89"/>
  <c r="W30" i="89" s="1"/>
  <c r="W29" i="89" s="1"/>
  <c r="R31" i="89"/>
  <c r="R30" i="89" s="1"/>
  <c r="R29" i="89" s="1"/>
  <c r="M31" i="89"/>
  <c r="M30" i="89" s="1"/>
  <c r="M29" i="89" s="1"/>
  <c r="G31" i="89"/>
  <c r="G30" i="89" s="1"/>
  <c r="G29" i="89" s="1"/>
  <c r="AD30" i="89"/>
  <c r="AC30" i="89"/>
  <c r="AB30" i="89"/>
  <c r="Z30" i="89"/>
  <c r="Z29" i="89" s="1"/>
  <c r="Y30" i="89"/>
  <c r="Y29" i="89" s="1"/>
  <c r="X30" i="89"/>
  <c r="X29" i="89" s="1"/>
  <c r="V30" i="89"/>
  <c r="V29" i="89" s="1"/>
  <c r="U30" i="89"/>
  <c r="U29" i="89" s="1"/>
  <c r="T30" i="89"/>
  <c r="T29" i="89" s="1"/>
  <c r="S30" i="89"/>
  <c r="S29" i="89" s="1"/>
  <c r="Q30" i="89"/>
  <c r="Q29" i="89" s="1"/>
  <c r="P30" i="89"/>
  <c r="P29" i="89" s="1"/>
  <c r="O30" i="89"/>
  <c r="O29" i="89" s="1"/>
  <c r="N30" i="89"/>
  <c r="N29" i="89" s="1"/>
  <c r="L30" i="89"/>
  <c r="L29" i="89" s="1"/>
  <c r="K30" i="89"/>
  <c r="K29" i="89" s="1"/>
  <c r="J30" i="89"/>
  <c r="J29" i="89" s="1"/>
  <c r="I30" i="89"/>
  <c r="I29" i="89" s="1"/>
  <c r="H30" i="89"/>
  <c r="H29" i="89" s="1"/>
  <c r="H18" i="89"/>
  <c r="H17" i="89" s="1"/>
  <c r="I18" i="89"/>
  <c r="I17" i="89" s="1"/>
  <c r="J18" i="89"/>
  <c r="J17" i="89" s="1"/>
  <c r="K18" i="89"/>
  <c r="K17" i="89" s="1"/>
  <c r="L18" i="89"/>
  <c r="L17" i="89" s="1"/>
  <c r="N18" i="89"/>
  <c r="N17" i="89" s="1"/>
  <c r="O18" i="89"/>
  <c r="O17" i="89" s="1"/>
  <c r="P18" i="89"/>
  <c r="P17" i="89" s="1"/>
  <c r="Q18" i="89"/>
  <c r="Q17" i="89" s="1"/>
  <c r="S18" i="89"/>
  <c r="S17" i="89" s="1"/>
  <c r="T18" i="89"/>
  <c r="T17" i="89" s="1"/>
  <c r="U18" i="89"/>
  <c r="U17" i="89" s="1"/>
  <c r="V18" i="89"/>
  <c r="V17" i="89" s="1"/>
  <c r="X18" i="89"/>
  <c r="X17" i="89" s="1"/>
  <c r="Y18" i="89"/>
  <c r="Y17" i="89" s="1"/>
  <c r="Z18" i="89"/>
  <c r="Z17" i="89" s="1"/>
  <c r="AB18" i="89"/>
  <c r="AC18" i="89"/>
  <c r="AD18" i="89"/>
  <c r="AD17" i="89" s="1"/>
  <c r="H23" i="89"/>
  <c r="H22" i="89" s="1"/>
  <c r="I23" i="89"/>
  <c r="I22" i="89" s="1"/>
  <c r="J23" i="89"/>
  <c r="J22" i="89" s="1"/>
  <c r="K23" i="89"/>
  <c r="K22" i="89" s="1"/>
  <c r="L23" i="89"/>
  <c r="L22" i="89" s="1"/>
  <c r="N23" i="89"/>
  <c r="N22" i="89" s="1"/>
  <c r="O23" i="89"/>
  <c r="O22" i="89" s="1"/>
  <c r="P23" i="89"/>
  <c r="P22" i="89" s="1"/>
  <c r="S23" i="89"/>
  <c r="S22" i="89" s="1"/>
  <c r="T23" i="89"/>
  <c r="T22" i="89" s="1"/>
  <c r="U23" i="89"/>
  <c r="U22" i="89" s="1"/>
  <c r="X23" i="89"/>
  <c r="X22" i="89" s="1"/>
  <c r="Y23" i="89"/>
  <c r="Y22" i="89" s="1"/>
  <c r="Z23" i="89"/>
  <c r="Z22" i="89" s="1"/>
  <c r="AB23" i="89"/>
  <c r="AB22" i="89" s="1"/>
  <c r="AC23" i="89"/>
  <c r="AC22" i="89" s="1"/>
  <c r="AD23" i="89"/>
  <c r="AD22" i="89" s="1"/>
  <c r="H26" i="89"/>
  <c r="H25" i="89" s="1"/>
  <c r="I26" i="89"/>
  <c r="I25" i="89" s="1"/>
  <c r="J26" i="89"/>
  <c r="J25" i="89" s="1"/>
  <c r="K26" i="89"/>
  <c r="K25" i="89" s="1"/>
  <c r="L26" i="89"/>
  <c r="L25" i="89" s="1"/>
  <c r="N26" i="89"/>
  <c r="N25" i="89" s="1"/>
  <c r="O26" i="89"/>
  <c r="O25" i="89" s="1"/>
  <c r="P26" i="89"/>
  <c r="P25" i="89" s="1"/>
  <c r="S26" i="89"/>
  <c r="S25" i="89" s="1"/>
  <c r="T26" i="89"/>
  <c r="T25" i="89" s="1"/>
  <c r="U26" i="89"/>
  <c r="U25" i="89" s="1"/>
  <c r="X26" i="89"/>
  <c r="X25" i="89" s="1"/>
  <c r="Y26" i="89"/>
  <c r="Y25" i="89" s="1"/>
  <c r="Z26" i="89"/>
  <c r="Z25" i="89" s="1"/>
  <c r="AB26" i="89"/>
  <c r="AB25" i="89" s="1"/>
  <c r="AC26" i="89"/>
  <c r="AD26" i="89"/>
  <c r="AE26" i="89"/>
  <c r="AE25" i="89" s="1"/>
  <c r="AF26" i="89"/>
  <c r="AF25" i="89" s="1"/>
  <c r="AG26" i="89"/>
  <c r="AG25" i="89" s="1"/>
  <c r="AH26" i="89"/>
  <c r="AH25" i="89" s="1"/>
  <c r="AI26" i="89"/>
  <c r="AI25" i="89" s="1"/>
  <c r="AJ26" i="89"/>
  <c r="AJ25" i="89" s="1"/>
  <c r="AK26" i="89"/>
  <c r="AK25" i="89" s="1"/>
  <c r="AL26" i="89"/>
  <c r="AL25" i="89" s="1"/>
  <c r="AM26" i="89"/>
  <c r="AM25" i="89" s="1"/>
  <c r="AN26" i="89"/>
  <c r="AN25" i="89" s="1"/>
  <c r="AO26" i="89"/>
  <c r="AO25" i="89" s="1"/>
  <c r="AP26" i="89"/>
  <c r="AP25" i="89" s="1"/>
  <c r="AQ26" i="89"/>
  <c r="AQ25" i="89" s="1"/>
  <c r="AR26" i="89"/>
  <c r="AR25" i="89" s="1"/>
  <c r="AS26" i="89"/>
  <c r="AS25" i="89" s="1"/>
  <c r="AT26" i="89"/>
  <c r="AT25" i="89" s="1"/>
  <c r="AU26" i="89"/>
  <c r="AU25" i="89" s="1"/>
  <c r="AV26" i="89"/>
  <c r="AV25" i="89" s="1"/>
  <c r="AW26" i="89"/>
  <c r="AW25" i="89" s="1"/>
  <c r="AX26" i="89"/>
  <c r="AX25" i="89" s="1"/>
  <c r="AY26" i="89"/>
  <c r="AY25" i="89" s="1"/>
  <c r="AZ26" i="89"/>
  <c r="AZ25" i="89" s="1"/>
  <c r="BA26" i="89"/>
  <c r="BA25" i="89" s="1"/>
  <c r="BB26" i="89"/>
  <c r="BB25" i="89" s="1"/>
  <c r="BC26" i="89"/>
  <c r="BC25" i="89" s="1"/>
  <c r="BD26" i="89"/>
  <c r="BD25" i="89" s="1"/>
  <c r="BE26" i="89"/>
  <c r="BE25" i="89" s="1"/>
  <c r="V27" i="89"/>
  <c r="V26" i="89" s="1"/>
  <c r="V25" i="89" s="1"/>
  <c r="Q27" i="89"/>
  <c r="M27" i="89" s="1"/>
  <c r="M26" i="89" s="1"/>
  <c r="M25" i="89" s="1"/>
  <c r="BJ27" i="89"/>
  <c r="BG27" i="89"/>
  <c r="AA27" i="89"/>
  <c r="AA26" i="89" s="1"/>
  <c r="W27" i="89"/>
  <c r="W26" i="89" s="1"/>
  <c r="W25" i="89" s="1"/>
  <c r="G27" i="89"/>
  <c r="G26" i="89" s="1"/>
  <c r="G25" i="89" s="1"/>
  <c r="W24" i="89"/>
  <c r="W23" i="89" s="1"/>
  <c r="V24" i="89"/>
  <c r="R24" i="89" s="1"/>
  <c r="R23" i="89" s="1"/>
  <c r="R22" i="89" s="1"/>
  <c r="Q24" i="89"/>
  <c r="M24" i="89" s="1"/>
  <c r="M23" i="89" s="1"/>
  <c r="M22" i="89" s="1"/>
  <c r="BJ24" i="89"/>
  <c r="BG24" i="89"/>
  <c r="AA24" i="89"/>
  <c r="BF24" i="89" s="1"/>
  <c r="G24" i="89"/>
  <c r="G23" i="89" s="1"/>
  <c r="G22" i="89" s="1"/>
  <c r="R20" i="89"/>
  <c r="R21" i="89"/>
  <c r="R19" i="89"/>
  <c r="AA20" i="89"/>
  <c r="AA21" i="89"/>
  <c r="AA19" i="89"/>
  <c r="W20" i="89"/>
  <c r="W21" i="89"/>
  <c r="W19" i="89"/>
  <c r="BJ20" i="89"/>
  <c r="BG20" i="89"/>
  <c r="M20" i="89"/>
  <c r="G20" i="89"/>
  <c r="M21" i="89"/>
  <c r="M19" i="89"/>
  <c r="G21" i="89"/>
  <c r="G19" i="89"/>
  <c r="BG21" i="89"/>
  <c r="BJ21" i="89"/>
  <c r="BJ19" i="89"/>
  <c r="BG19" i="89"/>
  <c r="W15" i="89"/>
  <c r="BG15" i="89"/>
  <c r="BJ15" i="89"/>
  <c r="BG14" i="89"/>
  <c r="BI14" i="89"/>
  <c r="BJ14" i="89"/>
  <c r="AA15" i="89"/>
  <c r="W14" i="89"/>
  <c r="R15" i="89"/>
  <c r="M15" i="89"/>
  <c r="R14" i="89"/>
  <c r="M14" i="89"/>
  <c r="P12" i="89"/>
  <c r="O12" i="89"/>
  <c r="N12" i="89"/>
  <c r="G14" i="89"/>
  <c r="AC12" i="89"/>
  <c r="AB12" i="89"/>
  <c r="Y12" i="89"/>
  <c r="Y11" i="89" s="1"/>
  <c r="X12" i="89"/>
  <c r="U12" i="89"/>
  <c r="T12" i="89"/>
  <c r="S12" i="89"/>
  <c r="P9" i="83"/>
  <c r="P8" i="83" s="1"/>
  <c r="M16" i="83"/>
  <c r="M11" i="83"/>
  <c r="Q40" i="89" l="1"/>
  <c r="Q39" i="89" s="1"/>
  <c r="H40" i="89"/>
  <c r="H39" i="89" s="1"/>
  <c r="Y40" i="89"/>
  <c r="Y39" i="89" s="1"/>
  <c r="X28" i="89"/>
  <c r="N28" i="89"/>
  <c r="G40" i="89"/>
  <c r="G39" i="89" s="1"/>
  <c r="O28" i="89"/>
  <c r="M40" i="89"/>
  <c r="M39" i="89" s="1"/>
  <c r="G33" i="89"/>
  <c r="G32" i="89" s="1"/>
  <c r="G28" i="89" s="1"/>
  <c r="X40" i="89"/>
  <c r="X39" i="89" s="1"/>
  <c r="P40" i="89"/>
  <c r="P39" i="89" s="1"/>
  <c r="Z28" i="89"/>
  <c r="P28" i="89"/>
  <c r="Q28" i="89"/>
  <c r="R40" i="89"/>
  <c r="R39" i="89" s="1"/>
  <c r="AD40" i="89"/>
  <c r="AD39" i="89" s="1"/>
  <c r="N40" i="89"/>
  <c r="N39" i="89" s="1"/>
  <c r="S28" i="89"/>
  <c r="M33" i="89"/>
  <c r="M32" i="89" s="1"/>
  <c r="M28" i="89" s="1"/>
  <c r="AC40" i="89"/>
  <c r="AC39" i="89" s="1"/>
  <c r="V40" i="89"/>
  <c r="V39" i="89" s="1"/>
  <c r="L40" i="89"/>
  <c r="L39" i="89" s="1"/>
  <c r="T28" i="89"/>
  <c r="R33" i="89"/>
  <c r="R32" i="89" s="1"/>
  <c r="R28" i="89" s="1"/>
  <c r="AB40" i="89"/>
  <c r="AB39" i="89" s="1"/>
  <c r="U40" i="89"/>
  <c r="U39" i="89" s="1"/>
  <c r="K40" i="89"/>
  <c r="K39" i="89" s="1"/>
  <c r="BJ26" i="89"/>
  <c r="K28" i="89"/>
  <c r="U28" i="89"/>
  <c r="W33" i="89"/>
  <c r="W32" i="89" s="1"/>
  <c r="W28" i="89" s="1"/>
  <c r="AA40" i="89"/>
  <c r="AA39" i="89" s="1"/>
  <c r="T40" i="89"/>
  <c r="T39" i="89" s="1"/>
  <c r="J40" i="89"/>
  <c r="J39" i="89" s="1"/>
  <c r="Z40" i="89"/>
  <c r="Z39" i="89" s="1"/>
  <c r="S40" i="89"/>
  <c r="S39" i="89" s="1"/>
  <c r="I40" i="89"/>
  <c r="I39" i="89" s="1"/>
  <c r="J28" i="89"/>
  <c r="W40" i="89"/>
  <c r="W39" i="89" s="1"/>
  <c r="BG18" i="89"/>
  <c r="L28" i="89"/>
  <c r="AA23" i="89"/>
  <c r="AA22" i="89" s="1"/>
  <c r="BG12" i="89"/>
  <c r="R27" i="89"/>
  <c r="R26" i="89" s="1"/>
  <c r="R25" i="89" s="1"/>
  <c r="BJ18" i="89"/>
  <c r="I28" i="89"/>
  <c r="H28" i="89"/>
  <c r="AB17" i="89"/>
  <c r="T11" i="89"/>
  <c r="BG25" i="89"/>
  <c r="Q26" i="89"/>
  <c r="Q25" i="89" s="1"/>
  <c r="BJ23" i="89"/>
  <c r="BG23" i="89"/>
  <c r="AD25" i="89"/>
  <c r="BJ25" i="89" s="1"/>
  <c r="V23" i="89"/>
  <c r="V22" i="89" s="1"/>
  <c r="BJ17" i="89"/>
  <c r="S11" i="89"/>
  <c r="BF23" i="89"/>
  <c r="W22" i="89"/>
  <c r="BF22" i="89" s="1"/>
  <c r="X11" i="89"/>
  <c r="O11" i="89"/>
  <c r="N11" i="89"/>
  <c r="N10" i="89" s="1"/>
  <c r="U11" i="89"/>
  <c r="P11" i="89"/>
  <c r="AA25" i="89"/>
  <c r="BF25" i="89" s="1"/>
  <c r="BF26" i="89"/>
  <c r="BG22" i="89"/>
  <c r="G18" i="89"/>
  <c r="G17" i="89" s="1"/>
  <c r="AC25" i="89"/>
  <c r="BG26" i="89"/>
  <c r="BG17" i="89"/>
  <c r="BI13" i="89"/>
  <c r="M18" i="89"/>
  <c r="M17" i="89" s="1"/>
  <c r="W18" i="89"/>
  <c r="W17" i="89" s="1"/>
  <c r="BI12" i="89"/>
  <c r="AC29" i="89"/>
  <c r="AC28" i="89" s="1"/>
  <c r="Q23" i="89"/>
  <c r="Q22" i="89" s="1"/>
  <c r="R18" i="89"/>
  <c r="R17" i="89" s="1"/>
  <c r="AA18" i="89"/>
  <c r="AA17" i="89" s="1"/>
  <c r="AC17" i="89"/>
  <c r="BG13" i="89"/>
  <c r="AA29" i="89"/>
  <c r="AB29" i="89"/>
  <c r="AB28" i="89" s="1"/>
  <c r="Y32" i="89"/>
  <c r="AD29" i="89"/>
  <c r="AD28" i="89" s="1"/>
  <c r="AA32" i="89"/>
  <c r="V32" i="89"/>
  <c r="V28" i="89" s="1"/>
  <c r="BJ22" i="89"/>
  <c r="BF27" i="89"/>
  <c r="BF19" i="89"/>
  <c r="BF20" i="89"/>
  <c r="BF21" i="89"/>
  <c r="BF14" i="89"/>
  <c r="BF15" i="89"/>
  <c r="P27" i="83"/>
  <c r="T10" i="89" l="1"/>
  <c r="AA28" i="89"/>
  <c r="Y28" i="89"/>
  <c r="Y10" i="89" s="1"/>
  <c r="P10" i="89"/>
  <c r="O10" i="89"/>
  <c r="X10" i="89"/>
  <c r="S10" i="89"/>
  <c r="U10" i="89"/>
  <c r="AB11" i="89"/>
  <c r="AB10" i="89" s="1"/>
  <c r="BF18" i="89"/>
  <c r="AC11" i="89"/>
  <c r="AC10" i="89" s="1"/>
  <c r="BF17" i="89"/>
  <c r="I16" i="83"/>
  <c r="P12" i="83"/>
  <c r="Q12" i="83"/>
  <c r="E12" i="83"/>
  <c r="E9" i="83" s="1"/>
  <c r="C11" i="83"/>
  <c r="P11" i="83"/>
  <c r="Q11" i="83"/>
  <c r="M9" i="83"/>
  <c r="I11" i="83"/>
  <c r="I9" i="83" s="1"/>
  <c r="D10" i="83"/>
  <c r="C28" i="83"/>
  <c r="C27" i="83"/>
  <c r="F9" i="83"/>
  <c r="G9" i="83"/>
  <c r="H9" i="83"/>
  <c r="J9" i="83"/>
  <c r="K9" i="83"/>
  <c r="L9" i="83"/>
  <c r="N9" i="83"/>
  <c r="O9" i="83"/>
  <c r="Q9" i="83"/>
  <c r="R9" i="83"/>
  <c r="BI11" i="89" l="1"/>
  <c r="BI10" i="89"/>
  <c r="BG11" i="89"/>
  <c r="BG10" i="89"/>
  <c r="E27" i="84"/>
  <c r="C25" i="83" s="1"/>
  <c r="E11" i="84" l="1"/>
  <c r="D11" i="84"/>
  <c r="F11" i="84"/>
  <c r="G11" i="84"/>
  <c r="J11" i="84"/>
  <c r="C27" i="84"/>
  <c r="C12" i="83"/>
  <c r="C13" i="83"/>
  <c r="C14" i="83"/>
  <c r="C15" i="83"/>
  <c r="C16" i="83"/>
  <c r="C17" i="83"/>
  <c r="C18" i="83"/>
  <c r="C19" i="83"/>
  <c r="C20" i="83"/>
  <c r="C21" i="83"/>
  <c r="C22" i="83"/>
  <c r="C23" i="83"/>
  <c r="C24" i="83"/>
  <c r="C10" i="83"/>
  <c r="S10" i="83" s="1"/>
  <c r="C9" i="83" l="1"/>
  <c r="K27" i="84"/>
  <c r="G10" i="84"/>
  <c r="J10" i="84"/>
  <c r="D10" i="84"/>
  <c r="F10" i="84"/>
  <c r="E28" i="84"/>
  <c r="E10" i="84" s="1"/>
  <c r="F28" i="84"/>
  <c r="J28" i="84"/>
  <c r="C12" i="84"/>
  <c r="I12" i="84" s="1"/>
  <c r="A4" i="84"/>
  <c r="O11" i="86" l="1"/>
  <c r="C35" i="80"/>
  <c r="M11" i="86" l="1"/>
  <c r="U11" i="86" s="1"/>
  <c r="W11" i="86"/>
  <c r="A4" i="79"/>
  <c r="B37" i="78"/>
  <c r="B36" i="78"/>
  <c r="F21" i="80" l="1"/>
  <c r="C24" i="65" l="1"/>
  <c r="D33" i="80"/>
  <c r="C33" i="80"/>
  <c r="C32" i="80" s="1"/>
  <c r="C26" i="78" l="1"/>
  <c r="C23" i="78" l="1"/>
  <c r="C22" i="78" s="1"/>
  <c r="D32" i="80"/>
  <c r="E32" i="80" s="1"/>
  <c r="R10" i="85" l="1"/>
  <c r="R26" i="83"/>
  <c r="R8" i="83" s="1"/>
  <c r="G29" i="81" l="1"/>
  <c r="H29" i="81"/>
  <c r="H11" i="81" s="1"/>
  <c r="J29" i="81"/>
  <c r="M29" i="81"/>
  <c r="M11" i="81" s="1"/>
  <c r="M10" i="81" s="1"/>
  <c r="O29" i="81"/>
  <c r="O11" i="81" s="1"/>
  <c r="O10" i="81" s="1"/>
  <c r="Q29" i="81"/>
  <c r="D27" i="83"/>
  <c r="D28" i="83"/>
  <c r="D25" i="83"/>
  <c r="S25" i="83" s="1"/>
  <c r="D12" i="83"/>
  <c r="S12" i="83" s="1"/>
  <c r="D14" i="83"/>
  <c r="S14" i="83" s="1"/>
  <c r="D15" i="83"/>
  <c r="S15" i="83" s="1"/>
  <c r="D17" i="83"/>
  <c r="S17" i="83" s="1"/>
  <c r="D18" i="83"/>
  <c r="S18" i="83" s="1"/>
  <c r="D19" i="83"/>
  <c r="S19" i="83" s="1"/>
  <c r="D20" i="83"/>
  <c r="S20" i="83" s="1"/>
  <c r="D21" i="83"/>
  <c r="S21" i="83" s="1"/>
  <c r="D22" i="83"/>
  <c r="S22" i="83" s="1"/>
  <c r="D23" i="83"/>
  <c r="S23" i="83" s="1"/>
  <c r="H26" i="83"/>
  <c r="H8" i="83" s="1"/>
  <c r="E22" i="77" l="1"/>
  <c r="G22" i="77" s="1"/>
  <c r="G25" i="80" l="1"/>
  <c r="G22" i="80"/>
  <c r="D11" i="82" l="1"/>
  <c r="J12" i="81" s="1"/>
  <c r="H12" i="89"/>
  <c r="H11" i="89" s="1"/>
  <c r="H10" i="89" s="1"/>
  <c r="I12" i="89"/>
  <c r="I11" i="89" s="1"/>
  <c r="I10" i="89" s="1"/>
  <c r="J12" i="89"/>
  <c r="J11" i="89" s="1"/>
  <c r="J10" i="89" s="1"/>
  <c r="L12" i="89"/>
  <c r="L11" i="89" s="1"/>
  <c r="L10" i="89" s="1"/>
  <c r="Q12" i="81" l="1"/>
  <c r="J11" i="81"/>
  <c r="C26" i="84"/>
  <c r="P10" i="85"/>
  <c r="G53" i="121" s="1"/>
  <c r="H17" i="58" s="1"/>
  <c r="F17" i="58" s="1"/>
  <c r="J10" i="81" l="1"/>
  <c r="Q10" i="81" s="1"/>
  <c r="Q11" i="81"/>
  <c r="D11" i="83"/>
  <c r="S11" i="83" s="1"/>
  <c r="D13" i="83"/>
  <c r="S13" i="83" s="1"/>
  <c r="L27" i="81"/>
  <c r="L28" i="81"/>
  <c r="L20" i="81"/>
  <c r="L21" i="81"/>
  <c r="L22" i="81"/>
  <c r="L24" i="81"/>
  <c r="L25" i="81"/>
  <c r="E11" i="88" l="1"/>
  <c r="L29" i="81" l="1"/>
  <c r="N29" i="81"/>
  <c r="G12" i="81"/>
  <c r="G11" i="81" s="1"/>
  <c r="F17" i="81"/>
  <c r="F15" i="81"/>
  <c r="F14" i="81" l="1"/>
  <c r="F13" i="81"/>
  <c r="K12" i="89"/>
  <c r="K11" i="89" s="1"/>
  <c r="K10" i="89" s="1"/>
  <c r="T13" i="88" l="1"/>
  <c r="T14" i="88"/>
  <c r="T15" i="88"/>
  <c r="T12" i="88"/>
  <c r="T11" i="88" s="1"/>
  <c r="Q13" i="88"/>
  <c r="Q14" i="88"/>
  <c r="Q15" i="88"/>
  <c r="Q12" i="88"/>
  <c r="M13" i="88"/>
  <c r="H13" i="88" s="1"/>
  <c r="H11" i="88" s="1"/>
  <c r="Y11" i="88" s="1"/>
  <c r="M14" i="88"/>
  <c r="M15" i="88"/>
  <c r="J13" i="88"/>
  <c r="I13" i="88" s="1"/>
  <c r="J14" i="88"/>
  <c r="J15" i="88"/>
  <c r="J12" i="88"/>
  <c r="J11" i="88" s="1"/>
  <c r="C15" i="88"/>
  <c r="C12" i="88"/>
  <c r="Q11" i="88" l="1"/>
  <c r="D25" i="80" s="1"/>
  <c r="E25" i="80" s="1"/>
  <c r="P13" i="88"/>
  <c r="G13" i="88"/>
  <c r="G11" i="88" s="1"/>
  <c r="M11" i="88"/>
  <c r="D24" i="80" s="1"/>
  <c r="P12" i="88"/>
  <c r="P11" i="88" s="1"/>
  <c r="P14" i="88"/>
  <c r="Y15" i="88"/>
  <c r="P15" i="88"/>
  <c r="I15" i="88"/>
  <c r="I14" i="88"/>
  <c r="E24" i="80" l="1"/>
  <c r="D32" i="75"/>
  <c r="D25" i="78"/>
  <c r="I11" i="88"/>
  <c r="D16" i="83"/>
  <c r="S16" i="83" s="1"/>
  <c r="F15" i="88"/>
  <c r="W15" i="88" s="1"/>
  <c r="F12" i="88"/>
  <c r="E26" i="83"/>
  <c r="E8" i="83" s="1"/>
  <c r="F26" i="83"/>
  <c r="F8" i="83" s="1"/>
  <c r="G26" i="83"/>
  <c r="G8" i="83" s="1"/>
  <c r="I26" i="83"/>
  <c r="I8" i="83" s="1"/>
  <c r="J26" i="83"/>
  <c r="J8" i="83" s="1"/>
  <c r="K26" i="83"/>
  <c r="K8" i="83" s="1"/>
  <c r="L26" i="83"/>
  <c r="L8" i="83" s="1"/>
  <c r="M26" i="83"/>
  <c r="M8" i="83" s="1"/>
  <c r="N26" i="83"/>
  <c r="N8" i="83" s="1"/>
  <c r="O26" i="83"/>
  <c r="O8" i="83" s="1"/>
  <c r="P26" i="83"/>
  <c r="Q26" i="83"/>
  <c r="Q8" i="83" s="1"/>
  <c r="F32" i="75" l="1"/>
  <c r="D30" i="75"/>
  <c r="E32" i="75"/>
  <c r="W12" i="88"/>
  <c r="L19" i="81"/>
  <c r="C26" i="83"/>
  <c r="I12" i="59"/>
  <c r="I11" i="59" s="1"/>
  <c r="E26" i="77"/>
  <c r="G26" i="77" s="1"/>
  <c r="J16" i="59" l="1"/>
  <c r="E17" i="77"/>
  <c r="D11" i="76"/>
  <c r="I10" i="59"/>
  <c r="E32" i="77"/>
  <c r="F30" i="75"/>
  <c r="E30" i="75"/>
  <c r="C8" i="83"/>
  <c r="S26" i="83"/>
  <c r="L23" i="81"/>
  <c r="L15" i="81"/>
  <c r="L16" i="81"/>
  <c r="L17" i="81"/>
  <c r="C10" i="78"/>
  <c r="C9" i="78" s="1"/>
  <c r="C12" i="76"/>
  <c r="E26" i="75"/>
  <c r="F26" i="75"/>
  <c r="G17" i="77" l="1"/>
  <c r="D11" i="58"/>
  <c r="D11" i="87"/>
  <c r="G32" i="77"/>
  <c r="L13" i="81"/>
  <c r="H22" i="67" l="1"/>
  <c r="H9" i="67" s="1"/>
  <c r="D22" i="67"/>
  <c r="A1" i="119" l="1"/>
  <c r="A1" i="99"/>
  <c r="A1" i="68"/>
  <c r="A1" i="67"/>
  <c r="A1" i="66"/>
  <c r="A1" i="65"/>
  <c r="A1" i="64"/>
  <c r="A1" i="63"/>
  <c r="A1" i="121"/>
  <c r="A1" i="59"/>
  <c r="A1" i="58"/>
  <c r="A1" i="91"/>
  <c r="A1" i="89"/>
  <c r="A1" i="88"/>
  <c r="A1" i="87"/>
  <c r="A1" i="86"/>
  <c r="A1" i="85"/>
  <c r="A1" i="84"/>
  <c r="A1" i="83"/>
  <c r="A1" i="82"/>
  <c r="A1" i="81"/>
  <c r="A1" i="80"/>
  <c r="A1" i="79"/>
  <c r="A1" i="78"/>
  <c r="A1" i="77"/>
  <c r="A1" i="76"/>
  <c r="A5" i="65"/>
  <c r="A4" i="66"/>
  <c r="A4" i="67"/>
  <c r="A3" i="68" l="1"/>
  <c r="A3" i="99" s="1"/>
  <c r="F12" i="68" l="1"/>
  <c r="G45" i="68" l="1"/>
  <c r="G59" i="68"/>
  <c r="G58" i="68" l="1"/>
  <c r="G37" i="68"/>
  <c r="H38" i="68"/>
  <c r="G8" i="68" l="1"/>
  <c r="M55" i="68"/>
  <c r="H37" i="68"/>
  <c r="F38" i="68"/>
  <c r="A26" i="64"/>
  <c r="C8" i="99" l="1"/>
  <c r="N87" i="68" l="1"/>
  <c r="O87" i="68"/>
  <c r="R87" i="68"/>
  <c r="S87" i="68"/>
  <c r="T87" i="68"/>
  <c r="U87" i="68"/>
  <c r="P87" i="68" l="1"/>
  <c r="G10" i="87" l="1"/>
  <c r="A4" i="76" l="1"/>
  <c r="A4" i="58"/>
  <c r="E44" i="59" l="1"/>
  <c r="F11" i="68" l="1"/>
  <c r="D18" i="75" l="1"/>
  <c r="E18" i="75" l="1"/>
  <c r="F12" i="81" l="1"/>
  <c r="F7" i="119" l="1"/>
  <c r="G7" i="119"/>
  <c r="E7" i="119"/>
  <c r="J25" i="67" l="1"/>
  <c r="J22" i="67" s="1"/>
  <c r="Q87" i="68" l="1"/>
  <c r="M86" i="68"/>
  <c r="D10" i="66" l="1"/>
  <c r="C18" i="66"/>
  <c r="C19" i="66"/>
  <c r="C15" i="66"/>
  <c r="C17" i="66" l="1"/>
  <c r="C16" i="66"/>
  <c r="D13" i="65"/>
  <c r="K30" i="84" l="1"/>
  <c r="D26" i="83"/>
  <c r="S12" i="82" l="1"/>
  <c r="G15" i="89" l="1"/>
  <c r="G12" i="89" l="1"/>
  <c r="G11" i="89" s="1"/>
  <c r="G10" i="89" s="1"/>
  <c r="D10" i="87" l="1"/>
  <c r="E36" i="77" l="1"/>
  <c r="C32" i="78" l="1"/>
  <c r="C31" i="78" s="1"/>
  <c r="D29" i="78" l="1"/>
  <c r="D32" i="78"/>
  <c r="D31" i="78" s="1"/>
  <c r="C30" i="78"/>
  <c r="C29" i="78" s="1"/>
  <c r="C33" i="75" l="1"/>
  <c r="C29" i="75" s="1"/>
  <c r="C20" i="75" s="1"/>
  <c r="J12" i="67" l="1"/>
  <c r="F11" i="67"/>
  <c r="J14" i="67"/>
  <c r="J13" i="67"/>
  <c r="H9" i="119" l="1"/>
  <c r="J20" i="67" l="1"/>
  <c r="J19" i="67"/>
  <c r="J18" i="67"/>
  <c r="J17" i="67"/>
  <c r="F16" i="67"/>
  <c r="F15" i="67"/>
  <c r="F9" i="67" s="1"/>
  <c r="J16" i="67" l="1"/>
  <c r="H8" i="68" l="1"/>
  <c r="H8" i="119"/>
  <c r="H7" i="119" s="1"/>
  <c r="F25" i="75" l="1"/>
  <c r="E13" i="91"/>
  <c r="D20" i="76" l="1"/>
  <c r="C22" i="80"/>
  <c r="C21" i="80" s="1"/>
  <c r="C20" i="80" s="1"/>
  <c r="G21" i="80" l="1"/>
  <c r="G14" i="80" l="1"/>
  <c r="D24" i="83" l="1"/>
  <c r="C25" i="84"/>
  <c r="C24" i="84"/>
  <c r="I24" i="84" s="1"/>
  <c r="C18" i="84"/>
  <c r="I18" i="84" s="1"/>
  <c r="C22" i="84"/>
  <c r="I22" i="84" s="1"/>
  <c r="I25" i="84" l="1"/>
  <c r="D9" i="83"/>
  <c r="S24" i="83"/>
  <c r="D8" i="83" l="1"/>
  <c r="S9" i="83"/>
  <c r="H11" i="85" l="1"/>
  <c r="S11" i="85" s="1"/>
  <c r="I10" i="85" l="1"/>
  <c r="F64" i="68"/>
  <c r="G10" i="85" l="1"/>
  <c r="F11" i="59" l="1"/>
  <c r="F10" i="59" s="1"/>
  <c r="F9" i="59" s="1"/>
  <c r="F63" i="68" l="1"/>
  <c r="F62" i="68" l="1"/>
  <c r="M71" i="68"/>
  <c r="M9" i="68" l="1"/>
  <c r="F58" i="68" l="1"/>
  <c r="C8" i="64" l="1"/>
  <c r="G19" i="64" s="1"/>
  <c r="C22" i="65" l="1"/>
  <c r="C18" i="65"/>
  <c r="E34" i="59" l="1"/>
  <c r="K13" i="59" l="1"/>
  <c r="D23" i="78" l="1"/>
  <c r="D22" i="78" s="1"/>
  <c r="H15" i="59"/>
  <c r="D38" i="80" l="1"/>
  <c r="D21" i="76"/>
  <c r="A5" i="91" l="1"/>
  <c r="E60" i="121" l="1"/>
  <c r="D27" i="75" l="1"/>
  <c r="E27" i="75" s="1"/>
  <c r="D42" i="79"/>
  <c r="M64" i="68"/>
  <c r="F29" i="81" l="1"/>
  <c r="F11" i="81" s="1"/>
  <c r="C29" i="84" l="1"/>
  <c r="C30" i="84"/>
  <c r="K25" i="84"/>
  <c r="C28" i="84" l="1"/>
  <c r="C30" i="81"/>
  <c r="E29" i="81"/>
  <c r="C29" i="81" s="1"/>
  <c r="C31" i="81"/>
  <c r="I13" i="84" l="1"/>
  <c r="K26" i="84"/>
  <c r="I27" i="81"/>
  <c r="T11" i="86" l="1"/>
  <c r="G29" i="121" l="1"/>
  <c r="G10" i="121" s="1"/>
  <c r="S9" i="82" l="1"/>
  <c r="C13" i="88"/>
  <c r="C14" i="88"/>
  <c r="Y14" i="88"/>
  <c r="C11" i="88" l="1"/>
  <c r="F14" i="88"/>
  <c r="W14" i="88" s="1"/>
  <c r="F10" i="87" l="1"/>
  <c r="D13" i="77"/>
  <c r="D16" i="77"/>
  <c r="D20" i="77"/>
  <c r="L18" i="81" l="1"/>
  <c r="L26" i="81"/>
  <c r="D12" i="77"/>
  <c r="D11" i="77" s="1"/>
  <c r="A3" i="119" l="1"/>
  <c r="A3" i="59"/>
  <c r="A3" i="121" s="1"/>
  <c r="A3" i="88" l="1"/>
  <c r="A3" i="89" s="1"/>
  <c r="A4" i="90" s="1"/>
  <c r="A4" i="87"/>
  <c r="A3" i="86"/>
  <c r="A3" i="85"/>
  <c r="A3" i="83"/>
  <c r="A4" i="82"/>
  <c r="A4" i="81"/>
  <c r="A4" i="80"/>
  <c r="A4" i="78"/>
  <c r="A4" i="77"/>
  <c r="K30" i="81" l="1"/>
  <c r="I30" i="81" s="1"/>
  <c r="I35" i="81" l="1"/>
  <c r="D18" i="80"/>
  <c r="D19" i="78" s="1"/>
  <c r="D61" i="121" l="1"/>
  <c r="G9" i="121" l="1"/>
  <c r="G61" i="121" s="1"/>
  <c r="D37" i="79"/>
  <c r="F37" i="79" s="1"/>
  <c r="H9" i="58"/>
  <c r="E19" i="76" l="1"/>
  <c r="H12" i="59" l="1"/>
  <c r="C12" i="59"/>
  <c r="J18" i="59" l="1"/>
  <c r="E19" i="77"/>
  <c r="G19" i="77" s="1"/>
  <c r="L35" i="81"/>
  <c r="F37" i="68" l="1"/>
  <c r="F8" i="68" s="1"/>
  <c r="F59" i="68" l="1"/>
  <c r="D33" i="78" l="1"/>
  <c r="D33" i="75" s="1"/>
  <c r="F33" i="75" s="1"/>
  <c r="E33" i="75" l="1"/>
  <c r="D29" i="75"/>
  <c r="F29" i="75" s="1"/>
  <c r="E31" i="79"/>
  <c r="D39" i="79"/>
  <c r="F39" i="79" s="1"/>
  <c r="D35" i="79" l="1"/>
  <c r="F35" i="79" s="1"/>
  <c r="D38" i="79"/>
  <c r="F38" i="79" s="1"/>
  <c r="D34" i="79" l="1"/>
  <c r="F34" i="79" s="1"/>
  <c r="D30" i="79"/>
  <c r="E34" i="79"/>
  <c r="F30" i="79" l="1"/>
  <c r="E30" i="79"/>
  <c r="H39" i="121"/>
  <c r="K28" i="84" l="1"/>
  <c r="I28" i="84"/>
  <c r="D33" i="79" l="1"/>
  <c r="F33" i="79" s="1"/>
  <c r="D36" i="79" l="1"/>
  <c r="F36" i="79" s="1"/>
  <c r="C13" i="81" l="1"/>
  <c r="E12" i="59" l="1"/>
  <c r="E15" i="77"/>
  <c r="E13" i="77" s="1"/>
  <c r="G13" i="77" s="1"/>
  <c r="J12" i="59"/>
  <c r="K12" i="59"/>
  <c r="M58" i="68" l="1"/>
  <c r="H11" i="59" l="1"/>
  <c r="H10" i="59" s="1"/>
  <c r="H9" i="59" s="1"/>
  <c r="E18" i="77"/>
  <c r="E30" i="77"/>
  <c r="G30" i="77" s="1"/>
  <c r="E24" i="77"/>
  <c r="G24" i="77" s="1"/>
  <c r="G18" i="77" l="1"/>
  <c r="E16" i="77"/>
  <c r="G16" i="77" s="1"/>
  <c r="J29" i="59"/>
  <c r="E23" i="77"/>
  <c r="G23" i="77" s="1"/>
  <c r="J31" i="59"/>
  <c r="E27" i="77"/>
  <c r="G27" i="77" s="1"/>
  <c r="E25" i="77"/>
  <c r="G25" i="77" s="1"/>
  <c r="E29" i="77"/>
  <c r="G29" i="77" s="1"/>
  <c r="K31" i="59"/>
  <c r="F28" i="77" l="1"/>
  <c r="F12" i="77" s="1"/>
  <c r="E28" i="77"/>
  <c r="E21" i="77"/>
  <c r="E19" i="59"/>
  <c r="K22" i="59"/>
  <c r="D11" i="67"/>
  <c r="J11" i="67" s="1"/>
  <c r="H12" i="77" l="1"/>
  <c r="F11" i="77"/>
  <c r="E20" i="77"/>
  <c r="G21" i="77"/>
  <c r="D10" i="75"/>
  <c r="F10" i="77" l="1"/>
  <c r="H10" i="77" s="1"/>
  <c r="H11" i="77"/>
  <c r="G20" i="77"/>
  <c r="E12" i="77"/>
  <c r="D21" i="65"/>
  <c r="G12" i="77" l="1"/>
  <c r="E11" i="77"/>
  <c r="D12" i="91"/>
  <c r="C12" i="91"/>
  <c r="G11" i="77" l="1"/>
  <c r="E10" i="77"/>
  <c r="G10" i="77" s="1"/>
  <c r="E16" i="75"/>
  <c r="E12" i="91"/>
  <c r="D10" i="91"/>
  <c r="C10" i="91"/>
  <c r="C13" i="75"/>
  <c r="E10" i="91" l="1"/>
  <c r="K13" i="84" l="1"/>
  <c r="K22" i="84"/>
  <c r="I23" i="81" l="1"/>
  <c r="E42" i="79" l="1"/>
  <c r="E43" i="59" l="1"/>
  <c r="K28" i="59" l="1"/>
  <c r="J28" i="59"/>
  <c r="K29" i="59"/>
  <c r="J22" i="59"/>
  <c r="C15" i="59"/>
  <c r="C19" i="59"/>
  <c r="C11" i="59" l="1"/>
  <c r="C10" i="59" s="1"/>
  <c r="C9" i="59" s="1"/>
  <c r="D10" i="77"/>
  <c r="J26" i="59"/>
  <c r="C10" i="75"/>
  <c r="C9" i="75" s="1"/>
  <c r="K16" i="59"/>
  <c r="E15" i="59"/>
  <c r="E11" i="59" s="1"/>
  <c r="E10" i="59" s="1"/>
  <c r="K17" i="59"/>
  <c r="J17" i="59"/>
  <c r="K24" i="59"/>
  <c r="J24" i="59"/>
  <c r="K21" i="59"/>
  <c r="J21" i="59"/>
  <c r="J20" i="59"/>
  <c r="K20" i="59"/>
  <c r="K23" i="59"/>
  <c r="J23" i="59"/>
  <c r="K10" i="59" l="1"/>
  <c r="J19" i="59"/>
  <c r="K26" i="59"/>
  <c r="K19" i="59"/>
  <c r="B10" i="58"/>
  <c r="K15" i="59"/>
  <c r="J15" i="59"/>
  <c r="J10" i="59" l="1"/>
  <c r="K25" i="59"/>
  <c r="K11" i="59" s="1"/>
  <c r="J25" i="59" l="1"/>
  <c r="J11" i="59" s="1"/>
  <c r="E12" i="75"/>
  <c r="B11" i="58" l="1"/>
  <c r="E11" i="75" l="1"/>
  <c r="E25" i="75"/>
  <c r="E10" i="75" l="1"/>
  <c r="D13" i="76" l="1"/>
  <c r="D17" i="58"/>
  <c r="B17" i="58" s="1"/>
  <c r="E39" i="59"/>
  <c r="I20" i="81"/>
  <c r="I18" i="81"/>
  <c r="D14" i="75" l="1"/>
  <c r="E13" i="76"/>
  <c r="I19" i="81"/>
  <c r="M37" i="68"/>
  <c r="M8" i="68" s="1"/>
  <c r="D16" i="67"/>
  <c r="C14" i="66"/>
  <c r="C25" i="65"/>
  <c r="F14" i="75" l="1"/>
  <c r="E14" i="75"/>
  <c r="D10" i="65"/>
  <c r="C14" i="65"/>
  <c r="C13" i="65" s="1"/>
  <c r="D15" i="67"/>
  <c r="D9" i="67" s="1"/>
  <c r="C23" i="65"/>
  <c r="C21" i="65" s="1"/>
  <c r="Y13" i="88" l="1"/>
  <c r="C10" i="65"/>
  <c r="D9" i="65"/>
  <c r="C9" i="65" s="1"/>
  <c r="C10" i="66"/>
  <c r="J15" i="67"/>
  <c r="J9" i="67" s="1"/>
  <c r="I15" i="81"/>
  <c r="R10" i="86" l="1"/>
  <c r="D22" i="80"/>
  <c r="H28" i="84"/>
  <c r="F13" i="88"/>
  <c r="N14" i="81" s="1"/>
  <c r="D21" i="80" l="1"/>
  <c r="E22" i="80"/>
  <c r="K14" i="81"/>
  <c r="N12" i="81"/>
  <c r="N11" i="81" s="1"/>
  <c r="N10" i="81" s="1"/>
  <c r="W13" i="88"/>
  <c r="F11" i="88"/>
  <c r="W11" i="88" s="1"/>
  <c r="K31" i="81"/>
  <c r="K29" i="81" s="1"/>
  <c r="E21" i="80" l="1"/>
  <c r="D20" i="80"/>
  <c r="I31" i="81"/>
  <c r="I29" i="81" s="1"/>
  <c r="L14" i="81"/>
  <c r="C28" i="81"/>
  <c r="I14" i="81" l="1"/>
  <c r="L12" i="81"/>
  <c r="L11" i="81" s="1"/>
  <c r="L10" i="81" s="1"/>
  <c r="R27" i="81"/>
  <c r="C27" i="81"/>
  <c r="H10" i="87"/>
  <c r="I26" i="81" l="1"/>
  <c r="I22" i="81"/>
  <c r="I25" i="81"/>
  <c r="I17" i="81"/>
  <c r="I16" i="81"/>
  <c r="I21" i="81"/>
  <c r="K11" i="86"/>
  <c r="D10" i="86"/>
  <c r="E45" i="59" l="1"/>
  <c r="D17" i="75" s="1"/>
  <c r="D16" i="76"/>
  <c r="I13" i="81"/>
  <c r="D13" i="58"/>
  <c r="D14" i="58"/>
  <c r="E19" i="75"/>
  <c r="D17" i="76"/>
  <c r="T10" i="86"/>
  <c r="I10" i="86"/>
  <c r="O10" i="85"/>
  <c r="B13" i="58" l="1"/>
  <c r="E17" i="75"/>
  <c r="B14" i="58"/>
  <c r="G10" i="86"/>
  <c r="E53" i="121" l="1"/>
  <c r="D44" i="79" s="1"/>
  <c r="E10" i="86"/>
  <c r="S11" i="86"/>
  <c r="I36" i="81" l="1"/>
  <c r="F9" i="58"/>
  <c r="C10" i="86"/>
  <c r="C15" i="84"/>
  <c r="I15" i="84" s="1"/>
  <c r="C20" i="84"/>
  <c r="I20" i="84" s="1"/>
  <c r="C14" i="84"/>
  <c r="C16" i="84"/>
  <c r="C17" i="84"/>
  <c r="I17" i="84" s="1"/>
  <c r="C19" i="84"/>
  <c r="I19" i="84" s="1"/>
  <c r="C23" i="84"/>
  <c r="I14" i="84" l="1"/>
  <c r="I16" i="84"/>
  <c r="K16" i="84" s="1"/>
  <c r="I23" i="84"/>
  <c r="K15" i="84"/>
  <c r="G9" i="80"/>
  <c r="H21" i="80"/>
  <c r="K14" i="84"/>
  <c r="K24" i="84"/>
  <c r="E10" i="85"/>
  <c r="C18" i="76" s="1"/>
  <c r="C23" i="81"/>
  <c r="K19" i="84"/>
  <c r="K17" i="84"/>
  <c r="C10" i="76"/>
  <c r="S27" i="83"/>
  <c r="C21" i="84"/>
  <c r="I21" i="84" s="1"/>
  <c r="E20" i="80" l="1"/>
  <c r="C11" i="84"/>
  <c r="C10" i="84" s="1"/>
  <c r="K20" i="84"/>
  <c r="P10" i="86"/>
  <c r="H10" i="85"/>
  <c r="K10" i="85"/>
  <c r="U10" i="85" s="1"/>
  <c r="M10" i="85"/>
  <c r="V10" i="85" s="1"/>
  <c r="N10" i="85"/>
  <c r="C10" i="85"/>
  <c r="K21" i="84"/>
  <c r="S10" i="85" l="1"/>
  <c r="D21" i="78"/>
  <c r="C19" i="81"/>
  <c r="E12" i="81"/>
  <c r="E11" i="81" s="1"/>
  <c r="K18" i="84"/>
  <c r="Q10" i="86"/>
  <c r="Y10" i="86" s="1"/>
  <c r="H8" i="58"/>
  <c r="P25" i="81"/>
  <c r="R25" i="81"/>
  <c r="C15" i="81"/>
  <c r="P15" i="81" s="1"/>
  <c r="R15" i="81"/>
  <c r="C24" i="81"/>
  <c r="R31" i="81"/>
  <c r="C22" i="81"/>
  <c r="P22" i="81" s="1"/>
  <c r="R22" i="81"/>
  <c r="C17" i="81"/>
  <c r="P17" i="81" s="1"/>
  <c r="R17" i="81"/>
  <c r="C16" i="81"/>
  <c r="P16" i="81" s="1"/>
  <c r="R16" i="81"/>
  <c r="C18" i="81"/>
  <c r="P18" i="81" s="1"/>
  <c r="R18" i="81"/>
  <c r="C26" i="81"/>
  <c r="R26" i="81"/>
  <c r="R19" i="81"/>
  <c r="C21" i="81"/>
  <c r="P21" i="81" s="1"/>
  <c r="R21" i="81"/>
  <c r="P27" i="81" l="1"/>
  <c r="D13" i="79"/>
  <c r="E35" i="79"/>
  <c r="P19" i="81"/>
  <c r="P26" i="81"/>
  <c r="E29" i="121"/>
  <c r="P23" i="81"/>
  <c r="R23" i="81"/>
  <c r="C14" i="81"/>
  <c r="R14" i="81"/>
  <c r="C20" i="81"/>
  <c r="P20" i="81" s="1"/>
  <c r="R20" i="81"/>
  <c r="E33" i="79"/>
  <c r="E38" i="79"/>
  <c r="E39" i="79"/>
  <c r="E36" i="79"/>
  <c r="D11" i="80" l="1"/>
  <c r="D11" i="78"/>
  <c r="D10" i="78" s="1"/>
  <c r="D12" i="79"/>
  <c r="F13" i="79"/>
  <c r="H12" i="121"/>
  <c r="I12" i="121"/>
  <c r="D18" i="76"/>
  <c r="C12" i="81"/>
  <c r="C11" i="81" s="1"/>
  <c r="C10" i="81" s="1"/>
  <c r="C12" i="79"/>
  <c r="E11" i="80" l="1"/>
  <c r="D10" i="80"/>
  <c r="H11" i="121"/>
  <c r="I11" i="121"/>
  <c r="E18" i="76"/>
  <c r="E10" i="80"/>
  <c r="D22" i="75"/>
  <c r="C11" i="79"/>
  <c r="C9" i="79" s="1"/>
  <c r="F12" i="79"/>
  <c r="F10" i="58"/>
  <c r="P14" i="81"/>
  <c r="E44" i="79"/>
  <c r="E16" i="78"/>
  <c r="E14" i="79"/>
  <c r="I10" i="121" l="1"/>
  <c r="H10" i="121"/>
  <c r="F22" i="75"/>
  <c r="D36" i="75" l="1"/>
  <c r="D38" i="78"/>
  <c r="S11" i="82"/>
  <c r="P31" i="81"/>
  <c r="E23" i="79"/>
  <c r="E36" i="75" l="1"/>
  <c r="P28" i="81"/>
  <c r="E13" i="79"/>
  <c r="K12" i="84"/>
  <c r="R13" i="81" l="1"/>
  <c r="E12" i="79"/>
  <c r="E11" i="78" l="1"/>
  <c r="P13" i="81"/>
  <c r="E10" i="78" l="1"/>
  <c r="E37" i="79"/>
  <c r="E22" i="75" l="1"/>
  <c r="O10" i="86" l="1"/>
  <c r="M10" i="86"/>
  <c r="W10" i="86" l="1"/>
  <c r="E41" i="59"/>
  <c r="K10" i="86"/>
  <c r="D14" i="76" l="1"/>
  <c r="I40" i="59"/>
  <c r="D18" i="58"/>
  <c r="S10" i="86"/>
  <c r="U10" i="86"/>
  <c r="D15" i="75" l="1"/>
  <c r="E14" i="76"/>
  <c r="I38" i="59"/>
  <c r="E40" i="59"/>
  <c r="D12" i="76"/>
  <c r="D16" i="58"/>
  <c r="D9" i="58" s="1"/>
  <c r="B18" i="58"/>
  <c r="D10" i="76" l="1"/>
  <c r="E12" i="76"/>
  <c r="F15" i="75"/>
  <c r="D13" i="75"/>
  <c r="E15" i="75"/>
  <c r="E10" i="76"/>
  <c r="D22" i="76"/>
  <c r="B16" i="58"/>
  <c r="I37" i="59"/>
  <c r="E38" i="59"/>
  <c r="E37" i="59" s="1"/>
  <c r="E9" i="59" s="1"/>
  <c r="E29" i="75"/>
  <c r="E11" i="87" l="1"/>
  <c r="I9" i="59"/>
  <c r="D9" i="75"/>
  <c r="F13" i="75"/>
  <c r="E13" i="75"/>
  <c r="D8" i="58"/>
  <c r="H20" i="58" s="1"/>
  <c r="B9" i="58"/>
  <c r="C11" i="87" l="1"/>
  <c r="C10" i="87" s="1"/>
  <c r="E10" i="87"/>
  <c r="F9" i="75"/>
  <c r="E9" i="75"/>
  <c r="B8" i="58"/>
  <c r="H11" i="84" l="1"/>
  <c r="H10" i="84" s="1"/>
  <c r="K12" i="81" l="1"/>
  <c r="K11" i="81" s="1"/>
  <c r="K10" i="81" s="1"/>
  <c r="R12" i="81" l="1"/>
  <c r="I11" i="84"/>
  <c r="I10" i="84" s="1"/>
  <c r="K23" i="84"/>
  <c r="R24" i="81"/>
  <c r="I24" i="81"/>
  <c r="D32" i="79" l="1"/>
  <c r="F32" i="79" s="1"/>
  <c r="E36" i="121"/>
  <c r="D13" i="80" s="1"/>
  <c r="R11" i="81"/>
  <c r="R10" i="81"/>
  <c r="I12" i="81"/>
  <c r="K11" i="84"/>
  <c r="K10" i="84" s="1"/>
  <c r="P24" i="81"/>
  <c r="D14" i="78" l="1"/>
  <c r="D9" i="80"/>
  <c r="E13" i="80"/>
  <c r="D29" i="79"/>
  <c r="E29" i="79" s="1"/>
  <c r="E11" i="79" s="1"/>
  <c r="E32" i="79"/>
  <c r="E61" i="121"/>
  <c r="I11" i="81"/>
  <c r="I10" i="81" s="1"/>
  <c r="P12" i="81"/>
  <c r="H36" i="121"/>
  <c r="I36" i="121"/>
  <c r="F13" i="80"/>
  <c r="G13" i="80" s="1"/>
  <c r="G15" i="80" s="1"/>
  <c r="D8" i="80" l="1"/>
  <c r="E9" i="80"/>
  <c r="D23" i="75"/>
  <c r="D9" i="78"/>
  <c r="D11" i="79"/>
  <c r="F11" i="79" s="1"/>
  <c r="F29" i="79"/>
  <c r="H9" i="121"/>
  <c r="I9" i="121"/>
  <c r="I61" i="121"/>
  <c r="H61" i="121"/>
  <c r="P11" i="81"/>
  <c r="P10" i="81"/>
  <c r="D9" i="79"/>
  <c r="D8" i="78"/>
  <c r="F23" i="75" l="1"/>
  <c r="D21" i="75"/>
  <c r="E8" i="80"/>
  <c r="G10" i="80"/>
  <c r="E9" i="79"/>
  <c r="F9" i="79"/>
  <c r="F20" i="58"/>
  <c r="F8" i="58"/>
  <c r="E14" i="78"/>
  <c r="F21" i="75" l="1"/>
  <c r="D20" i="75"/>
  <c r="G8" i="80"/>
  <c r="E9" i="78"/>
  <c r="E23" i="75"/>
  <c r="E21" i="75" s="1"/>
  <c r="F20" i="75" l="1"/>
  <c r="D37" i="75"/>
  <c r="E20" i="75"/>
  <c r="E37" i="75" l="1"/>
  <c r="C33" i="78" l="1"/>
  <c r="C21" i="78" s="1"/>
  <c r="E33" i="78" l="1"/>
  <c r="E35" i="78"/>
  <c r="E21" i="78" l="1"/>
  <c r="C8" i="78"/>
  <c r="E8" i="78" s="1"/>
  <c r="W12" i="89" l="1"/>
  <c r="V12" i="89"/>
  <c r="R12" i="89"/>
  <c r="Z12" i="89"/>
  <c r="M12" i="89"/>
  <c r="Q12" i="89"/>
  <c r="M11" i="89" l="1"/>
  <c r="M10" i="89" s="1"/>
  <c r="BF13" i="89"/>
  <c r="Z11" i="89"/>
  <c r="Z10" i="89" s="1"/>
  <c r="AD12" i="89"/>
  <c r="BJ13" i="89"/>
  <c r="R11" i="89"/>
  <c r="R10" i="89" s="1"/>
  <c r="W11" i="89"/>
  <c r="W10" i="89" s="1"/>
  <c r="V11" i="89"/>
  <c r="V10" i="89" s="1"/>
  <c r="Q11" i="89"/>
  <c r="Q10" i="89" s="1"/>
  <c r="BJ12" i="89" l="1"/>
  <c r="AD11" i="89"/>
  <c r="BF12" i="89"/>
  <c r="BJ11" i="89" l="1"/>
  <c r="AD10" i="89"/>
  <c r="BJ10" i="89" s="1"/>
  <c r="BF11" i="89"/>
  <c r="BF10" i="89"/>
  <c r="C42" i="99"/>
  <c r="C30" i="99" s="1"/>
  <c r="C21" i="99" l="1"/>
  <c r="C44" i="99" s="1"/>
  <c r="G166" i="132"/>
  <c r="G134" i="132" s="1"/>
  <c r="G133" i="132" s="1"/>
  <c r="G132" i="132" s="1"/>
  <c r="G8" i="132" s="1"/>
  <c r="G7" i="132" s="1"/>
</calcChain>
</file>

<file path=xl/comments1.xml><?xml version="1.0" encoding="utf-8"?>
<comments xmlns="http://schemas.openxmlformats.org/spreadsheetml/2006/main">
  <authors>
    <author>MINH CHIEN</author>
  </authors>
  <commentList>
    <comment ref="O11" authorId="0">
      <text>
        <r>
          <rPr>
            <b/>
            <sz val="9"/>
            <color indexed="81"/>
            <rFont val="Tahoma"/>
            <family val="2"/>
          </rPr>
          <t>MINH CHIEN:</t>
        </r>
        <r>
          <rPr>
            <sz val="9"/>
            <color indexed="81"/>
            <rFont val="Tahoma"/>
            <family val="2"/>
          </rPr>
          <t xml:space="preserve">
CTMTQG
Lâm nghiệp bền vững
Bảo trì đường bộ
</t>
        </r>
      </text>
    </comment>
  </commentList>
</comments>
</file>

<file path=xl/comments2.xml><?xml version="1.0" encoding="utf-8"?>
<comments xmlns="http://schemas.openxmlformats.org/spreadsheetml/2006/main">
  <authors>
    <author>MINH CHIEN</author>
  </authors>
  <commentList>
    <comment ref="D27" authorId="0">
      <text>
        <r>
          <rPr>
            <b/>
            <sz val="9"/>
            <color indexed="81"/>
            <rFont val="Tahoma"/>
            <family val="2"/>
          </rPr>
          <t>MINH CHIEN:</t>
        </r>
        <r>
          <rPr>
            <sz val="9"/>
            <color indexed="81"/>
            <rFont val="Tahoma"/>
            <family val="2"/>
          </rPr>
          <t xml:space="preserve">
khắc phục thiên tai 29,800</t>
        </r>
      </text>
    </comment>
  </commentList>
</comments>
</file>

<file path=xl/comments3.xml><?xml version="1.0" encoding="utf-8"?>
<comments xmlns="http://schemas.openxmlformats.org/spreadsheetml/2006/main">
  <authors>
    <author>longqlns</author>
  </authors>
  <commentList>
    <comment ref="A6" authorId="0">
      <text>
        <r>
          <rPr>
            <b/>
            <sz val="9"/>
            <color indexed="81"/>
            <rFont val="Tahoma"/>
            <family val="2"/>
          </rPr>
          <t>longqlns:</t>
        </r>
        <r>
          <rPr>
            <sz val="9"/>
            <color indexed="81"/>
            <rFont val="Tahoma"/>
            <family val="2"/>
          </rPr>
          <t xml:space="preserve">
</t>
        </r>
      </text>
    </comment>
  </commentList>
</comments>
</file>

<file path=xl/sharedStrings.xml><?xml version="1.0" encoding="utf-8"?>
<sst xmlns="http://schemas.openxmlformats.org/spreadsheetml/2006/main" count="2860" uniqueCount="1054">
  <si>
    <t>Đơn vị: Triệu đồng</t>
  </si>
  <si>
    <t>STT</t>
  </si>
  <si>
    <t>Nội dung</t>
  </si>
  <si>
    <t>Dự toán</t>
  </si>
  <si>
    <t>A</t>
  </si>
  <si>
    <t>B</t>
  </si>
  <si>
    <t>I</t>
  </si>
  <si>
    <t>Thu nội địa</t>
  </si>
  <si>
    <t>1.1</t>
  </si>
  <si>
    <t>Thuế thu nhập cá nhân</t>
  </si>
  <si>
    <t>Lệ phí trước bạ</t>
  </si>
  <si>
    <t>Thu khác ngân sách</t>
  </si>
  <si>
    <t>II</t>
  </si>
  <si>
    <t>Thu từ dầu thô</t>
  </si>
  <si>
    <t>(Ký tên, đóng dấu)</t>
  </si>
  <si>
    <t>Tổng số</t>
  </si>
  <si>
    <t>Bao gồm</t>
  </si>
  <si>
    <t>Thuế thu nhập doanh nghiệp</t>
  </si>
  <si>
    <t>Thuế tài nguyên</t>
  </si>
  <si>
    <t>III</t>
  </si>
  <si>
    <t>IV</t>
  </si>
  <si>
    <t>Thuế sử dụng đất phi nông nghiệp</t>
  </si>
  <si>
    <t>Thuế sử dụng đất nông nghiệp</t>
  </si>
  <si>
    <t>Thu tiền sử dụng đất</t>
  </si>
  <si>
    <t>V</t>
  </si>
  <si>
    <t>-</t>
  </si>
  <si>
    <t xml:space="preserve">Chi đầu tư phát triển </t>
  </si>
  <si>
    <t>Chi đầu tư phát triển khác</t>
  </si>
  <si>
    <t>Chi bảo đảm xã hội</t>
  </si>
  <si>
    <t>Chi đầu tư phát triển</t>
  </si>
  <si>
    <t>Chi thường xuyên</t>
  </si>
  <si>
    <t>TỔNG SỐ</t>
  </si>
  <si>
    <t>a</t>
  </si>
  <si>
    <t>b</t>
  </si>
  <si>
    <t>Chi hoạt động của các cơ quan quản lý nhà nước, đảng, đoàn thể</t>
  </si>
  <si>
    <t>Chi giáo dục - đào tạo và dạy nghề</t>
  </si>
  <si>
    <t>Gồm</t>
  </si>
  <si>
    <t>Nguồn trong nước</t>
  </si>
  <si>
    <t>1.2</t>
  </si>
  <si>
    <t>1.3</t>
  </si>
  <si>
    <t>2.1</t>
  </si>
  <si>
    <t>2.2</t>
  </si>
  <si>
    <t>C</t>
  </si>
  <si>
    <t>Trong đó</t>
  </si>
  <si>
    <t>11=12+13</t>
  </si>
  <si>
    <t>Trong đó:</t>
  </si>
  <si>
    <t>VI</t>
  </si>
  <si>
    <t>2.3</t>
  </si>
  <si>
    <t>Tên đơn vị</t>
  </si>
  <si>
    <t>Chênh lệch nguồn trong năm</t>
  </si>
  <si>
    <t>Danh mục dự án</t>
  </si>
  <si>
    <t>Năng lực thiết kế</t>
  </si>
  <si>
    <t>Ghi chú</t>
  </si>
  <si>
    <t>Tổng số (tất cả các nguồn vốn)</t>
  </si>
  <si>
    <t>Vốn trong nước</t>
  </si>
  <si>
    <t>Thu bổ sung từ ngân sách cấp trên</t>
  </si>
  <si>
    <t>Thu bổ sung cân đối ngân sách</t>
  </si>
  <si>
    <t>Thu bổ sung có mục tiêu</t>
  </si>
  <si>
    <t>Thu kết dư</t>
  </si>
  <si>
    <t>Thu chuyển nguồn từ năm trước chuyển sang</t>
  </si>
  <si>
    <t>TỔNG CHI NGÂN SÁCH ĐỊA PHƯƠNG</t>
  </si>
  <si>
    <t>Dự phòng ngân sách</t>
  </si>
  <si>
    <t>Chi chuyển nguồn sang năm sau</t>
  </si>
  <si>
    <t>Thu NSĐP được hưởng theo phân cấp</t>
  </si>
  <si>
    <t>D</t>
  </si>
  <si>
    <t>CHI CÂN ĐỐI NGÂN SÁCH ĐỊA PHƯƠNG</t>
  </si>
  <si>
    <t>Chi đầu tư và hỗ trợ vốn cho các doanh nghiệp cung cấp sản phẩm, dịch vụ công ích do Nhà nước đặt hàng, các tổ chức kinh tế, các tổ chức tài chính của địa phương theo quy định của pháp luật</t>
  </si>
  <si>
    <t>Chi khoa học và công nghệ</t>
  </si>
  <si>
    <t>Chi quốc phòng</t>
  </si>
  <si>
    <t>Chi y tế, dân số và gia đình</t>
  </si>
  <si>
    <t>Chi văn hóa thông tin</t>
  </si>
  <si>
    <t>Chi bảo vệ môi trường</t>
  </si>
  <si>
    <t>Chi khác</t>
  </si>
  <si>
    <t>Sự nghiệp giáo dục</t>
  </si>
  <si>
    <t>Sự nghiệp đào tạo và dạy nghề</t>
  </si>
  <si>
    <t>Chi sự nghiệp kinh tế</t>
  </si>
  <si>
    <t>TỔNG CHI NSĐP</t>
  </si>
  <si>
    <t>CHI CÂN ĐỐI NSĐP</t>
  </si>
  <si>
    <t>Chi đầu tư cho các dự án</t>
  </si>
  <si>
    <t>Chi an ninh và trật tự an toàn xã hội</t>
  </si>
  <si>
    <t>Chi thể dục thể thao</t>
  </si>
  <si>
    <t>Chi các hoạt động kinh tế</t>
  </si>
  <si>
    <t>Chi thường xuyên khác</t>
  </si>
  <si>
    <t>Phần thu</t>
  </si>
  <si>
    <t>Thu NS xã</t>
  </si>
  <si>
    <t>Phần chi</t>
  </si>
  <si>
    <t>Chi NS xã</t>
  </si>
  <si>
    <t>Tr.đó: - Bổ sung cân đối ngân sách</t>
  </si>
  <si>
    <t>Dự toán năm</t>
  </si>
  <si>
    <t>Quyết toán năm</t>
  </si>
  <si>
    <t>So sánh QT/DT (%)</t>
  </si>
  <si>
    <t>Cấp trên giao</t>
  </si>
  <si>
    <t>HĐND quyết định</t>
  </si>
  <si>
    <t>THU NGÂN SÁCH NHÀ NƯỚC</t>
  </si>
  <si>
    <t>Thu về dầu thô</t>
  </si>
  <si>
    <t>Thu Hải quan</t>
  </si>
  <si>
    <t>Các khoản huy động, đóng góp</t>
  </si>
  <si>
    <t>THU CHUYỂN GIAO NGÂN SÁCH</t>
  </si>
  <si>
    <t>1.</t>
  </si>
  <si>
    <t xml:space="preserve">Bổ sung cân đối </t>
  </si>
  <si>
    <t>2.</t>
  </si>
  <si>
    <t>Bổ sung có mục tiêu</t>
  </si>
  <si>
    <t xml:space="preserve">Bổ sung có mục tiêu bằng nguồn vốn trong nước </t>
  </si>
  <si>
    <t>Bổ sung có mục tiêu bằng nguồn vốn ngoài nước</t>
  </si>
  <si>
    <t>Thu từ ngân sách cấp dưới nộp lên</t>
  </si>
  <si>
    <t>THU CHUYỂN NGUỒN</t>
  </si>
  <si>
    <t>THU KẾT DƯ NGÂN SÁCH</t>
  </si>
  <si>
    <t>Nội dung chi</t>
  </si>
  <si>
    <t>So sánh QT/DT(%)</t>
  </si>
  <si>
    <t>CHI CÂN ĐỐI NGÂN SÁCH</t>
  </si>
  <si>
    <t>Chi Giáo dục - đào tạo và dạy nghề</t>
  </si>
  <si>
    <t>Chi Y tế, dân số và gia đình</t>
  </si>
  <si>
    <t>Chi Phát thanh, truyền hình, thông tấn</t>
  </si>
  <si>
    <t>Chi Thể dục thể thao</t>
  </si>
  <si>
    <t>Chi Bảo vệ môi trường</t>
  </si>
  <si>
    <t>Chi Bảo đảm xã hội</t>
  </si>
  <si>
    <t>2.4</t>
  </si>
  <si>
    <t>Chi chuyển nguồn</t>
  </si>
  <si>
    <t>CHI BỔ SUNG CHO NGÂN SÁCH CẤP DƯỚI</t>
  </si>
  <si>
    <t>Bổ sung cân đối</t>
  </si>
  <si>
    <t>Tr. đó: - Bằng nguồn vốn trong nước</t>
  </si>
  <si>
    <t xml:space="preserve">           - Bằng nguồn vốn ngoài nước</t>
  </si>
  <si>
    <t>CHI NỘP NGÂN SÁCH CẤP TRÊN</t>
  </si>
  <si>
    <t>Chương</t>
  </si>
  <si>
    <t>Mục</t>
  </si>
  <si>
    <t>Tiểu mục</t>
  </si>
  <si>
    <t>NSNN</t>
  </si>
  <si>
    <t>NS cấp tỉnh</t>
  </si>
  <si>
    <t>Khoản</t>
  </si>
  <si>
    <t>Số quyết toán chi tăng, giảm so với dự toán</t>
  </si>
  <si>
    <t xml:space="preserve">Do chính sách thay đổi </t>
  </si>
  <si>
    <t>Nhiệm vụ chi đột xuất được bổ sung</t>
  </si>
  <si>
    <t>Tăng, giảm biên chế so với dự toán</t>
  </si>
  <si>
    <t>4</t>
  </si>
  <si>
    <t xml:space="preserve">Mua sắm tài sản </t>
  </si>
  <si>
    <t>THUYẾT MINH</t>
  </si>
  <si>
    <t>Tổng nguồn</t>
  </si>
  <si>
    <t>Các tổ chức, cá nhân trong nước ủng hộ</t>
  </si>
  <si>
    <t>Nguồn của NSĐP</t>
  </si>
  <si>
    <t>Tr.đó: - Từ nguồn dự phòng</t>
  </si>
  <si>
    <t>- Từ quỹ dự trữ tài chính</t>
  </si>
  <si>
    <t>- Từ nguồn tăng thu</t>
  </si>
  <si>
    <t>- Từ nguồn thưởng vượt thu</t>
  </si>
  <si>
    <t>- Từ nguồn khác</t>
  </si>
  <si>
    <t>Các nguồn khác</t>
  </si>
  <si>
    <t>Nguồn viện trợ nước ngoài</t>
  </si>
  <si>
    <t>Tổng kinh phí sử dụng đã được quyết toán chi NSĐP</t>
  </si>
  <si>
    <t>Chi đầu tư XDCB</t>
  </si>
  <si>
    <t>Chi giáo dục</t>
  </si>
  <si>
    <t>Chi y tế</t>
  </si>
  <si>
    <t>Chi đảm bảo xã hội</t>
  </si>
  <si>
    <t>Dự phòng</t>
  </si>
  <si>
    <t>Tăng thu</t>
  </si>
  <si>
    <t>Thưởng vượt dự toán thu</t>
  </si>
  <si>
    <t>Chi đầu tư và hỗ trợ vốn doanh nghiệp (nếu có theo phân cấp)</t>
  </si>
  <si>
    <t>Số kiến nghị của</t>
  </si>
  <si>
    <t>Số tồn tại chưa xử lý</t>
  </si>
  <si>
    <t>Thanh tra</t>
  </si>
  <si>
    <t>Kiểm toán</t>
  </si>
  <si>
    <t>Các khoản thu phải nộp ngân sách</t>
  </si>
  <si>
    <t>Các khoản ghi thu, ghi chi vào ngân sách</t>
  </si>
  <si>
    <t>Nộp trả ngân sách:</t>
  </si>
  <si>
    <t xml:space="preserve">Các khoản thu phải nộp ngân sách </t>
  </si>
  <si>
    <t>Số chi sai chế độ phải xuất toán</t>
  </si>
  <si>
    <t>Cơ quan tài chính giảm trừ cấp phát</t>
  </si>
  <si>
    <t>Số tuyệt đối</t>
  </si>
  <si>
    <t>Số tương đối</t>
  </si>
  <si>
    <t>3=2-1</t>
  </si>
  <si>
    <t>Nội dung (1)</t>
  </si>
  <si>
    <t>Quyết toán</t>
  </si>
  <si>
    <t>So sánh</t>
  </si>
  <si>
    <t>Tuyệt đối</t>
  </si>
  <si>
    <t>Tương đối (%)</t>
  </si>
  <si>
    <t>4=2/1</t>
  </si>
  <si>
    <t>TỔNG NGUỒN THU NSĐP</t>
  </si>
  <si>
    <t>Thu NSĐP hưởng 100%</t>
  </si>
  <si>
    <t>Thu NSĐP hưởng từ các khoản thu phân chia</t>
  </si>
  <si>
    <t xml:space="preserve">Thu bổ sung từ ngân sách cấp trên </t>
  </si>
  <si>
    <t xml:space="preserve">Tổng chi cân đối NSĐP </t>
  </si>
  <si>
    <t>Chi trả nợ lãi các khoản do chính quyền địa phương vay</t>
  </si>
  <si>
    <t>Chi tạo nguồn, điều chỉnh tiền lương</t>
  </si>
  <si>
    <t>Chi các chương trình mục tiêu</t>
  </si>
  <si>
    <t>Chi các chương trình mục tiêu quốc gia</t>
  </si>
  <si>
    <t>So sánh (%)</t>
  </si>
  <si>
    <t>Nguồn thu ngân sách</t>
  </si>
  <si>
    <t>Thu ngân sách được hưởng theo phân cấp</t>
  </si>
  <si>
    <t>Bổ sung cân đối ngân sách</t>
  </si>
  <si>
    <t>Chi ngân sách</t>
  </si>
  <si>
    <t>Kết dư</t>
  </si>
  <si>
    <t>Tổng thu NSNN</t>
  </si>
  <si>
    <t>5=3/1</t>
  </si>
  <si>
    <t>6=4/2</t>
  </si>
  <si>
    <t>TỔNG THU CÂN ĐỐI NSNN</t>
  </si>
  <si>
    <t xml:space="preserve">Thu phí, lệ phí </t>
  </si>
  <si>
    <t xml:space="preserve">Thu từ hoạt động xuất nhập khẩu </t>
  </si>
  <si>
    <t>THU KẾT DƯ NĂM TRƯỚC</t>
  </si>
  <si>
    <t>THU CHUYỂN NGUỒN TỪ NĂM TRƯỚC CHUYỂN SANG</t>
  </si>
  <si>
    <t>3=2/1</t>
  </si>
  <si>
    <t xml:space="preserve">Chi đầu tư cho các dự án </t>
  </si>
  <si>
    <t>CHI CÁC CHƯƠNG TRÌNH MỤC TIÊU</t>
  </si>
  <si>
    <t>CHI CHUYỂN NGUỒN SANG NĂM SAU</t>
  </si>
  <si>
    <t>Chi phát thanh, truyền hình, thông tấn</t>
  </si>
  <si>
    <t>Chi hoạt động của cơ quan quản lý nhà nước, đảng, đoàn thể</t>
  </si>
  <si>
    <t>Chi đầu tư khác</t>
  </si>
  <si>
    <t>9=6/3</t>
  </si>
  <si>
    <t>Chi chương trình MTQG</t>
  </si>
  <si>
    <t>Chi chuyển nguồn sang ngân sách năm sau</t>
  </si>
  <si>
    <t>CÁC CƠ QUAN, TỔ CHỨC</t>
  </si>
  <si>
    <t>CHI DỰ PHÒNG NGÂN SÁCH</t>
  </si>
  <si>
    <t>CHI TẠO NGUỒN, ĐIỀU CHỈNH TIỀN LƯƠNG</t>
  </si>
  <si>
    <t>CHI CHUYỂN NGUỒN SANG NGÂN SÁCH NĂM SAU</t>
  </si>
  <si>
    <t>Chi giao thông</t>
  </si>
  <si>
    <t>Chi nông nghiệp, lâm nghiệp, thủy lợi, thủy sản</t>
  </si>
  <si>
    <t>Kinh phí thực hiện trong năm</t>
  </si>
  <si>
    <t>Nguồn còn lại</t>
  </si>
  <si>
    <t>Dự toán đầu năm</t>
  </si>
  <si>
    <t>Chuyển nguồn năm sau</t>
  </si>
  <si>
    <t>Hủy bỏ</t>
  </si>
  <si>
    <t>Tên đơn vị (1)</t>
  </si>
  <si>
    <t>Chi CTMTQG</t>
  </si>
  <si>
    <t>Chi giáo dục đào tạo dạy nghề</t>
  </si>
  <si>
    <t>So sách (%)</t>
  </si>
  <si>
    <t>Vốn đầu tư để thực hiện các CTMT, nhiệm vụ</t>
  </si>
  <si>
    <t>Vốn sự nghiệp thực hiện các chế độ, chính sách</t>
  </si>
  <si>
    <t>Vốn thực hiện các CTMT quốc gia</t>
  </si>
  <si>
    <t>Vốn ngoài nước</t>
  </si>
  <si>
    <t>3=4+5</t>
  </si>
  <si>
    <t>17=9/1</t>
  </si>
  <si>
    <t>18=10/2</t>
  </si>
  <si>
    <t>19=11/3</t>
  </si>
  <si>
    <t>20=12/4</t>
  </si>
  <si>
    <t>21=13/5</t>
  </si>
  <si>
    <t>22=14/6</t>
  </si>
  <si>
    <t>23=15/7</t>
  </si>
  <si>
    <t>24=16/8</t>
  </si>
  <si>
    <t>Tổng thu NSĐP</t>
  </si>
  <si>
    <t>Thu NSĐP hưởng theo phân cấp</t>
  </si>
  <si>
    <t>Số bổ sung thực hiện cải cách tiền lương</t>
  </si>
  <si>
    <t>Thu từ kết dư năm trước</t>
  </si>
  <si>
    <t>Đầu tư phát triển</t>
  </si>
  <si>
    <t>Kinh phí sự nghiệp</t>
  </si>
  <si>
    <t>Chia ra</t>
  </si>
  <si>
    <t>Địa điểm xây dựng</t>
  </si>
  <si>
    <t>Thời gian khởi công - hoàn thành</t>
  </si>
  <si>
    <t>Quyết định đầu tư</t>
  </si>
  <si>
    <t>Số Quyết định, ngày, tháng, năm ban hành</t>
  </si>
  <si>
    <t>Tổng mức đầu tư được duyệt</t>
  </si>
  <si>
    <t>Chia theo nguồn vốn</t>
  </si>
  <si>
    <t>Ngoài nước</t>
  </si>
  <si>
    <t>Ngân sách trung ương</t>
  </si>
  <si>
    <t>(KHÔNG BAO GỒM NGUỒN NGÂN SÁCH NHÀ NƯỚC)</t>
  </si>
  <si>
    <t>Sự nghiệp giáo dục - đào tạo và dạy nghề</t>
  </si>
  <si>
    <t>Tên Quỹ</t>
  </si>
  <si>
    <t>Tổng nguồn vốn phát sinh trong năm</t>
  </si>
  <si>
    <t>Tổng sử dụng nguồn vốn trong năm</t>
  </si>
  <si>
    <t>Thu ngân sách cấp dưới nộp lên</t>
  </si>
  <si>
    <t>Chi nộp ngân sách cấp trên</t>
  </si>
  <si>
    <t>1=2+3-4+5</t>
  </si>
  <si>
    <t>7=1-6</t>
  </si>
  <si>
    <t>Số tiền</t>
  </si>
  <si>
    <t>Vốn đầu tư</t>
  </si>
  <si>
    <t>KẾT DƯ NSĐP</t>
  </si>
  <si>
    <t>NGÂN SÁCH XÃ</t>
  </si>
  <si>
    <t>CHI NGÂN SÁCH CẤP HUYỆN THEO LĨNH VỰC</t>
  </si>
  <si>
    <t>Ngân sách xã</t>
  </si>
  <si>
    <t>Đơn vị: Đồng</t>
  </si>
  <si>
    <t>Chi thuộc nhiệm vụ của ngân sách cấp xã</t>
  </si>
  <si>
    <t xml:space="preserve">CHI BỔ SUNG CÂN ĐỐI CHO NGÂN SÁCH CẤP DƯỚI </t>
  </si>
  <si>
    <t>17= 2/1</t>
  </si>
  <si>
    <t>E</t>
  </si>
  <si>
    <t>TỔNG CỘNG</t>
  </si>
  <si>
    <t>CHỦ TỊCH</t>
  </si>
  <si>
    <t>Ngân sách tỉnh</t>
  </si>
  <si>
    <t xml:space="preserve"> - </t>
  </si>
  <si>
    <t>Khối QLNN &amp; Sự nghiệp</t>
  </si>
  <si>
    <t>Văn phòng HĐND-UBND</t>
  </si>
  <si>
    <t>Các đơn vị khác</t>
  </si>
  <si>
    <t>Phường Đức Xuân</t>
  </si>
  <si>
    <t>Chi Chương trình MTQG</t>
  </si>
  <si>
    <t xml:space="preserve">Dự toán </t>
  </si>
  <si>
    <r>
      <t xml:space="preserve">Chi đầu tư phát triển </t>
    </r>
    <r>
      <rPr>
        <sz val="8"/>
        <rFont val="Times New Roman"/>
        <family val="1"/>
      </rPr>
      <t>(Không kể chương trình MTQG)</t>
    </r>
  </si>
  <si>
    <r>
      <t xml:space="preserve">Chi thường xuyên </t>
    </r>
    <r>
      <rPr>
        <sz val="8"/>
        <rFont val="Times New Roman"/>
        <family val="1"/>
      </rPr>
      <t>(Không kể chương trình MTQG)</t>
    </r>
  </si>
  <si>
    <t>Chương trình mục tiêu quốc gia giảm nghèo bền vững</t>
  </si>
  <si>
    <t>Thuế giá trị gia tăng</t>
  </si>
  <si>
    <t>Tiền phạt kê khai sai, kê khai thiếu</t>
  </si>
  <si>
    <t>Phạt chậm nộp hồ sơ khai thuế, QT thuế, phạt khác</t>
  </si>
  <si>
    <t>Chi dự phòng</t>
  </si>
  <si>
    <t>Vốn sự nghiệp</t>
  </si>
  <si>
    <t>Chi các Chương trình mục tiêu quốc gia</t>
  </si>
  <si>
    <t>Chi các Chương trình mục tiêu, nhiệm vụ</t>
  </si>
  <si>
    <t>Thu từ khu vực DNNN do trung ương quản lý</t>
  </si>
  <si>
    <t>Thu từ khu vực DNNN do địa phương quản lý</t>
  </si>
  <si>
    <t xml:space="preserve">Thu từ khu vực kinh tế ngoài quốc doanh </t>
  </si>
  <si>
    <t>Thuế tiêu thụ đặc biệt</t>
  </si>
  <si>
    <t>THU NỘI ĐỊA</t>
  </si>
  <si>
    <t>6=3/1</t>
  </si>
  <si>
    <t>7=3/2</t>
  </si>
  <si>
    <t>Phân chia theo từng cấp ngân sách</t>
  </si>
  <si>
    <t>TỔNG SỐ THU</t>
  </si>
  <si>
    <t>TỔNG SỐ CHI</t>
  </si>
  <si>
    <t>A. Tổng số thu cân đối ngân sách</t>
  </si>
  <si>
    <t>A. Tổng số chi cân đối ngân sách</t>
  </si>
  <si>
    <t>1. Các khoản thu NSĐP hưởng 100%</t>
  </si>
  <si>
    <t>2. Chi trả nợ lãi, phí tiền vay</t>
  </si>
  <si>
    <t>3. Chi thường xuyên</t>
  </si>
  <si>
    <t>NSTW</t>
  </si>
  <si>
    <t>Dự toán đã phân bổ</t>
  </si>
  <si>
    <t>Các chương trình, nhiệm vụ khác</t>
  </si>
  <si>
    <t xml:space="preserve">Chi tạo nguồn, điều chỉnh tiền lương </t>
  </si>
  <si>
    <t xml:space="preserve"> - Thuế thu nhập doanh nghiệp</t>
  </si>
  <si>
    <t xml:space="preserve"> - Thuế giá trị gia tăng</t>
  </si>
  <si>
    <t xml:space="preserve"> - Thu khác về thuế</t>
  </si>
  <si>
    <t>Thu NSTW</t>
  </si>
  <si>
    <t>Thu NS cấp tỉnh</t>
  </si>
  <si>
    <t>Quỹ đền ơn đáp nghĩa</t>
  </si>
  <si>
    <t>Quỹ bảo trợ trẻ em</t>
  </si>
  <si>
    <r>
      <t xml:space="preserve">Trong đó: Hỗ trợ từ NSĐP </t>
    </r>
    <r>
      <rPr>
        <sz val="10"/>
        <color indexed="8"/>
        <rFont val="Times New Roman"/>
        <family val="1"/>
      </rPr>
      <t>(nếu có)</t>
    </r>
  </si>
  <si>
    <t>Tổng cộng</t>
  </si>
  <si>
    <t>Dự toán chưa phân bổ</t>
  </si>
  <si>
    <t>3.1</t>
  </si>
  <si>
    <t>Chi sự nghiệp khác</t>
  </si>
  <si>
    <t>TỔNG NGUỒN THU NSNN (A+B+C)</t>
  </si>
  <si>
    <t>Vốn Thực hiện dự án</t>
  </si>
  <si>
    <t>Đơn vị tính: Triệu đồng./.</t>
  </si>
  <si>
    <t>Ban QLDA ĐT và XD thành phố</t>
  </si>
  <si>
    <t>Tiền đền bù GPMB san nền khu dân cư Quang Sơn</t>
  </si>
  <si>
    <t>Ban Bồi thường GPMB thành phố</t>
  </si>
  <si>
    <t>Thu viện trợ</t>
  </si>
  <si>
    <t>Kinh phí thực hiện cải cách tiền lương</t>
  </si>
  <si>
    <t>1. Chi đầu tư phát triển</t>
  </si>
  <si>
    <t>Thu Tài trợ (ghi thu, ghi chi vốn ODA vay lại Chương trình đô thị miền núi phía Bắc)</t>
  </si>
  <si>
    <t>17=2/1</t>
  </si>
  <si>
    <t>NS cấp xã</t>
  </si>
  <si>
    <t>Tổng</t>
  </si>
  <si>
    <t>Năm 2015</t>
  </si>
  <si>
    <t xml:space="preserve">Kiến nghị của kiểm toán, thanh tra các năm trước còn tồn tại chưa xử lý </t>
  </si>
  <si>
    <t>Năm 2016</t>
  </si>
  <si>
    <t xml:space="preserve">Nội dung </t>
  </si>
  <si>
    <t>Số bổ sung cân đối và bổ sung có mục tiêu từ ngân sách cấp trên</t>
  </si>
  <si>
    <t>Dự toán giao đầu năm</t>
  </si>
  <si>
    <t>I. Thu và vay trong ngân sách</t>
  </si>
  <si>
    <t>Số Quyết toán</t>
  </si>
  <si>
    <t>Chương trình mục tiêu phát triển hệ thống trợ giúp xã hội</t>
  </si>
  <si>
    <t>Quỹ người cao tuổi</t>
  </si>
  <si>
    <t>Dự toán được giao trong năm</t>
  </si>
  <si>
    <t xml:space="preserve">          - Bổ sung có mục tiêu</t>
  </si>
  <si>
    <t>Kinh phí hoạt động quý I năm 2014</t>
  </si>
  <si>
    <t>Chi đầu tư và hỗ trợ vốn cho các doanh nghiệp cung cấp sản phẩm, dịch vụ công ích do Nhà nước đặt hàng, các tổ chức kinh tế, tổ chức tài chính của địa phương theo quy định của pháp luật</t>
  </si>
  <si>
    <t>Chi văn hóa thông tin, phát thanh truyền hình, thể dục thể thao</t>
  </si>
  <si>
    <t>(Ghi chú: Tại Báo cáo quyết toán ngân sách năm 2018 số dư nợ Kinh phí bắn pháo hoa tết năm 2016 là 194,7 triệu đồng là do Ban Chỉ huy quân sự thành phố cung cấp thiếu chứng từ nộp 15 triệu đồng đã nộp năm 2017)</t>
  </si>
  <si>
    <t>Dư dự toán đã giao đơn vị (KP cải cách tiền lương)</t>
  </si>
  <si>
    <t>Thu tiền cho thuê, bán nhà thuộc sở hữu nhà nước</t>
  </si>
  <si>
    <t>4.1</t>
  </si>
  <si>
    <t>Vốn đầu tư phát triển</t>
  </si>
  <si>
    <t>Quỹ khuyến học</t>
  </si>
  <si>
    <t>Quỹ vì người nghèo</t>
  </si>
  <si>
    <t>Quỹ hội chữ thập đỏ</t>
  </si>
  <si>
    <t>Quỹ cứu trợ</t>
  </si>
  <si>
    <t xml:space="preserve">Thời gian </t>
  </si>
  <si>
    <t>Chi các chương trình, nhiệm vụ</t>
  </si>
  <si>
    <t>Số dư đến ngày 31/12/2020</t>
  </si>
  <si>
    <t>Kinh phí được giao tự chủ của các đơn vị sự nghiệp công lập và các cơ quan nhà nước</t>
  </si>
  <si>
    <t>Dự toán được giao sử dụng trong năm</t>
  </si>
  <si>
    <t>Nguồn trung ương bổ sung có mục tiêu</t>
  </si>
  <si>
    <t>Nguồn cân đối ngân sách địa phương</t>
  </si>
  <si>
    <t>Nguồn thu tiền sử dụng đất</t>
  </si>
  <si>
    <t>TỔNG CỘNG (A + B)</t>
  </si>
  <si>
    <t>4=1+2-3</t>
  </si>
  <si>
    <t>Chương trình phòng chống tội phạm, phòng chống ma túy</t>
  </si>
  <si>
    <t>Kinh phí quản lý, bảo trì đường bộ cho các quỹ bảo trì đường bộ địa phương</t>
  </si>
  <si>
    <t>Năm 2021</t>
  </si>
  <si>
    <t>KT</t>
  </si>
  <si>
    <t>Số xử lý đến hết năm 2020</t>
  </si>
  <si>
    <t>Số xử lý năm 2021</t>
  </si>
  <si>
    <t>Kinh phí thừa (Chương trình đô thị miền núi phía Bắc)</t>
  </si>
  <si>
    <t>Số dư đến ngày 31/12/2021</t>
  </si>
  <si>
    <t>Số phát sinh tăng trong năm 2021</t>
  </si>
  <si>
    <t>Số phát sinh giảm trong năm 2021</t>
  </si>
  <si>
    <t>TRƯỞNG PHÒNG</t>
  </si>
  <si>
    <t>Năm 2017, 2018, 2019, 2020: Không kiểm toán</t>
  </si>
  <si>
    <t>Dự toán đã phân bổ trong năm hết nhiệm vụ chi bị hủy bỏ</t>
  </si>
  <si>
    <t>QLDA</t>
  </si>
  <si>
    <t>KP chi trả lương, phụ cấp và các khoản đóng góp (do tăng biên chế có mặt)</t>
  </si>
  <si>
    <t>Thừa vốn</t>
  </si>
  <si>
    <t>Không tìm thấy nhà thầu (do công trình quyết toán từ năm 2013)</t>
  </si>
  <si>
    <t>Nguồn cấp quyền sử dụng đất</t>
  </si>
  <si>
    <t>c</t>
  </si>
  <si>
    <t>Trường THCS Đức Xuân</t>
  </si>
  <si>
    <t>Trường THCS Huyền Tụng</t>
  </si>
  <si>
    <t>30% tăng thu NSNN phân 2021 chưa phân bổ</t>
  </si>
  <si>
    <t>Tăng thu NSNN từ tiền sử dụng đất</t>
  </si>
  <si>
    <t>Nguồn tăng thu tiết kiệm chi năm 2020 chuyển sang năm 2021 chưa phân bổ hết còn lại</t>
  </si>
  <si>
    <t>Dư dự toán không thực hiện chuyển nguồn</t>
  </si>
  <si>
    <t>BẢNG TỔNG HỢP CÁC KHOẢN CHI TẠM ỨNG</t>
  </si>
  <si>
    <t>Chương trình mục tiêu quốc gia dân tộc thiểu số</t>
  </si>
  <si>
    <t>DVCI</t>
  </si>
  <si>
    <t>GDDT</t>
  </si>
  <si>
    <t>GT</t>
  </si>
  <si>
    <t>Chương trình mục tiêu quốc gia vùng đồng bào dân tộc thiểu số</t>
  </si>
  <si>
    <t>Chi tạo nguồn CCTL</t>
  </si>
  <si>
    <t>Chi quản lý hành chính</t>
  </si>
  <si>
    <t>085</t>
  </si>
  <si>
    <t>Lập quy hoạch bản đồ</t>
  </si>
  <si>
    <t>BÁO CÁO TÌNH HÌNH KIỂM TOÁN, THANH TRA NĂM 2022</t>
  </si>
  <si>
    <t>Chi Văn hóa thông tin, thể thao</t>
  </si>
  <si>
    <t>,</t>
  </si>
  <si>
    <t>Các nội dung chi khác</t>
  </si>
  <si>
    <t>TỔNG HỢP QUYẾT TOÁN CHI THƯỜNG XUYÊN NGÂN SÁCH CẤP XÃ CỦA TỪNG CƠ QUAN, TỔ CHỨC 
THEO NGUỒN VỐN NĂM 2025</t>
  </si>
  <si>
    <t>Biểu số 57 - NĐ 31</t>
  </si>
  <si>
    <t>Văn phòng HĐND và UBND</t>
  </si>
  <si>
    <t>Biểu số 56 - NĐ 31</t>
  </si>
  <si>
    <t>QUYẾT TOÁN CHI THƯỜNG XUYÊN CỦA NGÂN SÁCH CẤP XÃ CHO TỪNG CƠ QUAN, TỔ CHỨC THEO LĨNH VỰC NĂM 2025</t>
  </si>
  <si>
    <t>Dự toán được cấp</t>
  </si>
  <si>
    <t>Phòng Kinh tế, Hạ tầng và Đô thị</t>
  </si>
  <si>
    <t>Phòng Văn hóa - Xã hội</t>
  </si>
  <si>
    <t>Văn phòng Đảng ủy</t>
  </si>
  <si>
    <t>Ủy ban MTTQVN phường</t>
  </si>
  <si>
    <t>Trung tâm phục vụ hành chính công</t>
  </si>
  <si>
    <t>Trung tâm dịch vụ tổng hợp</t>
  </si>
  <si>
    <t>Trường Mầm non Huyền Tụng</t>
  </si>
  <si>
    <t>Trường MN Nguyễn Thị Minh Khai</t>
  </si>
  <si>
    <t>Trường Mầm non Đức Xuân</t>
  </si>
  <si>
    <t>Trường Tiểu học Huyền Tụng</t>
  </si>
  <si>
    <t>Trường TH Nguyễn Thị Minh Khai</t>
  </si>
  <si>
    <t>Trường Tiểu học Đức Xuân</t>
  </si>
  <si>
    <t>Công an phường Đức Xuân</t>
  </si>
  <si>
    <t>Kho bạc nhà nước khu vực VII - Phòng giao dịch số 4</t>
  </si>
  <si>
    <t>Đơn vị: Nghìn đồng</t>
  </si>
  <si>
    <t>UBND phường Đức Xuân</t>
  </si>
  <si>
    <t>VỐN NSNN THUỘC KẾ HOẠCH NĂM 2025</t>
  </si>
  <si>
    <t>Sửa chữa, nâng cấp trường THCS Huyền Tụng, thành phố Bắc Kạn</t>
  </si>
  <si>
    <t>Giá trị khối lượng thực hiện từ khởi công đến 31/12/2025</t>
  </si>
  <si>
    <t>Lũy kế vốn đã bố trí đến 31/12/2025</t>
  </si>
  <si>
    <t>Đơn vị tính: Nghìn đồng./.</t>
  </si>
  <si>
    <t>Ngân sách phường</t>
  </si>
  <si>
    <t>Ngân sách  phường</t>
  </si>
  <si>
    <t>Trường Mầm non Nguyễn Thị Minh Khai, thành phố Bắc Kạn (giai đoạn 3)</t>
  </si>
  <si>
    <t>Cải tạo, sửa chữa trường Mầm non Đức Xuân</t>
  </si>
  <si>
    <t>Nâng cấp đường QL3 cũ đoạn qua tổ 1,2,3 phường Nguyễn Thị Minh Khai, thành phố Bắc Kạn</t>
  </si>
  <si>
    <t>Nguồn tiết kiệm chi</t>
  </si>
  <si>
    <t>Quy hoạch phân khu N3 - khu vực đô thị trung tâm phường Huyền Tụng, thành phố Bắc Kạn, tỷ lệ 1/2000</t>
  </si>
  <si>
    <t>Nguồn tài trợ</t>
  </si>
  <si>
    <t>Quy hoạch phân khu N7 - khu vực đô thị trung tâm phía Đông, thành phố Bắc Kạn, tỷ lệ 1/2000</t>
  </si>
  <si>
    <t>CÁC DỰ ÁN KHÔNG GHI KHV NĂM 2025 CÒN DƯ VỐN TẠM ỨNG CHƯA THU HỒI TỪ CÁC NĂM TRƯỚC CHUYỂN SANG NĂM QUYẾT TOÁN</t>
  </si>
  <si>
    <t>Hạ tầng kỹ thuật Cụm công nghiệp Huyền Tụng, thành phố Bắc Kạn, tỉnh Bắc Kạn</t>
  </si>
  <si>
    <t>Quy hoạch phân khu N2 - khu vực đô thị trung tâm phường Nguyễn Thị Minh Khai, thành phố Bắc Kạn, tỷ lệ 1/2000</t>
  </si>
  <si>
    <t>CHƯƠNG TRÌNH MỤC TIÊU QUỐC GIA</t>
  </si>
  <si>
    <t>Chương trình MTQG phát triển kinh tế - xã hội vùng đồng bào dân tộc thiểu số và miền núi</t>
  </si>
  <si>
    <t>Nguồn vốn NSTW</t>
  </si>
  <si>
    <t>Đường giao thông nông thôn Tổ Khuổi Pái, phường Huyền Tụng</t>
  </si>
  <si>
    <t>Nguồn vốn NSĐP</t>
  </si>
  <si>
    <t>CHI ĐẦU TƯ PHÁT TRIỂN KHÁC</t>
  </si>
  <si>
    <t>Công tác giải phóng mặt bằng Dự án Đầu tư xây dựng hạ tầng kỹ thuật khu dân cư tổ Xây Dựng và tổ Pá Danh phường Huyền Tụng TP Bắc Kạn</t>
  </si>
  <si>
    <t>QUYẾT TOÁN VỐN ĐẦU TƯ CÁC CHƯƠNG TRÌNH, DỰ ÁN SỬ DỤNG VỐN NGÂN SÁCH NHÀ NƯỚC NĂM 2025</t>
  </si>
  <si>
    <t>Biểu số 50 - NĐ 31</t>
  </si>
  <si>
    <t>QUYẾT TOÁN THU NSNN, VAY NSĐP NĂM 2025</t>
  </si>
  <si>
    <t>Các khoản thu không có trong công thức</t>
  </si>
  <si>
    <t>Ngày         tháng 3 năm 2026</t>
  </si>
  <si>
    <t>TM. UBND PHƯỜNG ĐỨC XUÂN</t>
  </si>
  <si>
    <t>Long Văn Thắng</t>
  </si>
  <si>
    <t>Hoàng Thị Phương Thảo</t>
  </si>
  <si>
    <t>PHÒNG KINH TẾ, HẠ TẦNG VÀ ĐÔ THỊ</t>
  </si>
  <si>
    <t>KHO BẠC NHÀ NƯỚC</t>
  </si>
  <si>
    <t>QUYẾT TOÁN CHI CHƯƠNG TRÌNH MỤC TIÊU, CHƯƠNG TRÌNH MỤC TIÊU QUỐC GIA 
THEO MỤC LỤC NSNN NĂM 2025</t>
  </si>
  <si>
    <t>1. Chương trình mục tiêu quốc gia phát triển kinh tế - xã hội vùng đồng bào dân tộc thiểu số và miền núi</t>
  </si>
  <si>
    <t>Tên chương trình mục tiêu</t>
  </si>
  <si>
    <t>Loại</t>
  </si>
  <si>
    <t>Mã CTMT</t>
  </si>
  <si>
    <t>Tiểu dự án 1, Dự án 10: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2021-2030</t>
  </si>
  <si>
    <t>10521</t>
  </si>
  <si>
    <t>070</t>
  </si>
  <si>
    <t>Tiểu dự án 4, Dự án 5: Đào tạo nâng cao năng lực cho cộng đồng và cán bộ triển khai Chương trình ở các cấp.</t>
  </si>
  <si>
    <t>10515</t>
  </si>
  <si>
    <t>Tiểu dự án 1, Dự án 6: Giảm nghèo về thông tin</t>
  </si>
  <si>
    <t>Tiểu dự án 2, Dự án 6: Truyền thông về giảm nghèo đa chiều</t>
  </si>
  <si>
    <t>Tiểu dự án 1, Dự án 7: Nâng cao năng lực thực hiện Chương trình</t>
  </si>
  <si>
    <t>160</t>
  </si>
  <si>
    <t>Dự án 8: Thực hiện bình đẳng giới và giải quyết những vấn đề cấp thiết đối với phụ nữ và trẻ em</t>
  </si>
  <si>
    <t xml:space="preserve">2. Chương trình mục tiêu quốc gia giảm nghèo bền vững </t>
  </si>
  <si>
    <t>P. Đức Xuân, ngày         tháng      năm 2026</t>
  </si>
  <si>
    <r>
      <t xml:space="preserve">Nguồn năm trước chuyển sang </t>
    </r>
    <r>
      <rPr>
        <sz val="10"/>
        <rFont val="Times New Roman"/>
        <family val="1"/>
      </rPr>
      <t>(nếu có)</t>
    </r>
  </si>
  <si>
    <r>
      <t xml:space="preserve">Bổ sung trong năm </t>
    </r>
    <r>
      <rPr>
        <sz val="10"/>
        <rFont val="Times New Roman"/>
        <family val="1"/>
      </rPr>
      <t>(nếu có)</t>
    </r>
  </si>
  <si>
    <r>
      <t xml:space="preserve">Giảm trừ trong năm </t>
    </r>
    <r>
      <rPr>
        <sz val="10"/>
        <rFont val="Times New Roman"/>
        <family val="1"/>
      </rPr>
      <t>(nếu có)</t>
    </r>
  </si>
  <si>
    <t>QUYẾT TOÁN CHI NGÂN SÁCH ĐỊA PHƯƠNG TỪNG XÃ NĂM 2025</t>
  </si>
  <si>
    <t>QUYẾT TOÁN CHI ĐẦU TƯ PHÁT TRIỂN CỦA NGÂN SÁCH CẤP XÃ CHO TỪNG CƠ QUAN, TỔ CHỨC THEO LĨNH VỰC NĂM 2025</t>
  </si>
  <si>
    <t>Dư nguồn đến ngày 31/12/2024</t>
  </si>
  <si>
    <t>Kế hoạch năm 2025</t>
  </si>
  <si>
    <t>Thực hiện năm 2025</t>
  </si>
  <si>
    <t>Dư nguồn đến 31/12/2025</t>
  </si>
  <si>
    <t xml:space="preserve">Tại KBNN </t>
  </si>
  <si>
    <t xml:space="preserve">Tại NHTM </t>
  </si>
  <si>
    <t xml:space="preserve">Quỹ Bảo trợ NN CĐDC Đioxin </t>
  </si>
  <si>
    <t>TỔNG HỢP THU DỊCH VỤ CỦA ĐƠN VỊ SỰ NGHIỆP CÔNG NĂM 2025</t>
  </si>
  <si>
    <t>Biểu số 62 - NĐ 31</t>
  </si>
  <si>
    <t>228/NQ- HĐND ngày 25/8/2021; 2341/QĐ-UBND ngày 31/10/2022;  2258/QĐ-UBND ngày 12/8/2024; 675/QĐ-UBND ngày 14/4/2025</t>
  </si>
  <si>
    <t>3504/QĐ-UBND ngày 26/12/2023</t>
  </si>
  <si>
    <t>2389/QĐ-UBND ngày 22/8/2023</t>
  </si>
  <si>
    <t>2742/QĐ-UBND ngày 04/10/2023</t>
  </si>
  <si>
    <t>441/QĐ-UBND ngày 20/2/2024</t>
  </si>
  <si>
    <t>88/NQ-HĐND 8/12/2023; 2255/QĐ-UBND ngày 01/12/2023; 198/QĐ-UBND ngày 03/6/2025</t>
  </si>
  <si>
    <t>736/QĐ-UBND ngày 14/10/2025; 1064A/QĐ-UBND ngày 15/11/2025</t>
  </si>
  <si>
    <t>QUYẾT TOÁN CHI CHƯƠNG TRÌNH MỤC TIÊU QUỐC GIA NĂM 2025</t>
  </si>
  <si>
    <t>21=4/1</t>
  </si>
  <si>
    <t>22=5/2</t>
  </si>
  <si>
    <t>23=6/3</t>
  </si>
  <si>
    <t>Biểu số 61 - NĐ 31</t>
  </si>
  <si>
    <t>16= 5/1</t>
  </si>
  <si>
    <t>17= 6/2</t>
  </si>
  <si>
    <t>18=8/3</t>
  </si>
  <si>
    <t>19=10/4</t>
  </si>
  <si>
    <t>Chi hỗ trợ địa phương khác</t>
  </si>
  <si>
    <t>Biểu số 58 - NĐ 31</t>
  </si>
  <si>
    <t>Biểu số 59 - NĐ 31</t>
  </si>
  <si>
    <t>QUYẾT TOÁN THU NGÂN SÁCH XÃ NĂM 2025</t>
  </si>
  <si>
    <t>Biểu số 60 - NĐ 31</t>
  </si>
  <si>
    <t>QUYẾT TOÁN CHI NGÂN SÁCH ĐỊA PHƯƠNG NĂM 2025</t>
  </si>
  <si>
    <t>Chi hỗ trợ các địa phương khác</t>
  </si>
  <si>
    <t>TỔNG SỐ (A+B)</t>
  </si>
  <si>
    <t>CÂN ĐỐI QUYẾT TOÁN NGÂN SÁCH ĐỊA PHƯƠNG NĂM 2025</t>
  </si>
  <si>
    <t>CHI KHẮC PHỤC HẬU QUẢ THIÊN TAI NĂM 2025</t>
  </si>
  <si>
    <t>F</t>
  </si>
  <si>
    <t>CHI HỖ TRỢ ĐỊA PHƯƠNG KHÁC</t>
  </si>
  <si>
    <t>Dự toán năm 2025</t>
  </si>
  <si>
    <t>QUYẾT TOÁN CHI NGÂN SÁCH ĐỊA PHƯƠNG VÀ CHI NGÂN SÁCH XÃ THEO CƠ CẤU CHI NĂM 2025</t>
  </si>
  <si>
    <t>QUYẾT TOÁN CHI NGÂN SÁCH CẤP XÃ CHO TỪNG CƠ QUAN, TỔ CHỨC THEO LĨNH VỰC NĂM 2025</t>
  </si>
  <si>
    <t>Đơn vị: Nghìn đồng./.</t>
  </si>
  <si>
    <t>CHI THƯỜNG XUYÊN</t>
  </si>
  <si>
    <t>CHI ĐẦU TƯ</t>
  </si>
  <si>
    <t>10514</t>
  </si>
  <si>
    <t>280</t>
  </si>
  <si>
    <t>20514</t>
  </si>
  <si>
    <t>Tiểu dự án 1, Dự án 4: Đường giao thông nông thôn tổ Khuổi Pái, phường Huyền Tụng (Mã Dự án: 8119849)</t>
  </si>
  <si>
    <t>QUYẾT TOÁN CHI BỔ SUNG TỪ NGÂN SÁCH CẤP TỈNH CHO NGÂN SÁCH TỪNG XÃ NĂM 2025</t>
  </si>
  <si>
    <t>Kinh phí thực hiện chương trình phát triển lâm nghiệp bền vững</t>
  </si>
  <si>
    <t xml:space="preserve"> -</t>
  </si>
  <si>
    <t>QUYẾT TOÁN CHI NGÂN SÁCH CẤP XÃ THEO LĨNH VỰC NĂM 2025</t>
  </si>
  <si>
    <t>QUYẾT TOÁN CHI NGÂN SÁCH ĐỊA PHƯƠNG THEO LĨNH VỰC NĂM 2025</t>
  </si>
  <si>
    <t>QUYẾT TOÁN NGUỒN THU NGÂN SÁCH NHÀ NƯỚC TRÊN ĐỊA BÀN THEO LĨNH VỰC NĂM 2025</t>
  </si>
  <si>
    <t>Biểu số 49 - NĐ 31</t>
  </si>
  <si>
    <t>QUYẾT TOÁN CÂN ĐỐI NGUỒN THU, CHI NGÂN SÁCH CẤP XÃ NĂM 2025</t>
  </si>
  <si>
    <t>QUYẾT TOÁN CÂN ĐỐI NGÂN SÁCH ĐỊA PHƯƠNG NĂM 2025</t>
  </si>
  <si>
    <t>Chi hỗ trợ các địa phương</t>
  </si>
  <si>
    <t>Biểu số 48 - NĐ 31</t>
  </si>
  <si>
    <t>Biểu số 51 - NĐ 31</t>
  </si>
  <si>
    <t>Biểu số 52 - NĐ 31</t>
  </si>
  <si>
    <t>Biểu số 53 - NĐ 31</t>
  </si>
  <si>
    <t>Biểu số 54 - NĐ 31</t>
  </si>
  <si>
    <t>Biểu số 55 - NĐ 31</t>
  </si>
  <si>
    <t>Ngày         tháng      năm 2026</t>
  </si>
  <si>
    <t>TM. ỦY BAN NHÂN DÂN</t>
  </si>
  <si>
    <t>Hót đất sạt, sửa chữa hư hỏng, đảm bảo giao thông trên các tuyến đường phường Đức Xuân năm 2025</t>
  </si>
  <si>
    <t>Kinh phí thực hiện chính sách cho đối tượng bảo trợ xã hội theo Nghị định số 20/2021/NĐ-CP và Nghị định số 76/2024/NĐ-CP; Nghị định số 176/2025/NĐ-CP của Chính phủ</t>
  </si>
  <si>
    <t>Kinh phí chế độ mai táng phí theo Quyết định số 62/2011/QĐ-TTg</t>
  </si>
  <si>
    <t>Kinh phí hỗ trợ giáo viên, trẻ em học tại các cơ sở giáo dục mầm non ngoài công lập theo Nghị quyết số 02/2024/NQ-HĐND</t>
  </si>
  <si>
    <t>Kinh phí hỗ trợ học phí đối với trẻ em mầm non trong các cơ sở giáo dục dân lập, tư thục theo Nghị quyết số 21/2025/NQ-HĐND</t>
  </si>
  <si>
    <t>Kinh phí khắc phục dịch bệnh động vật</t>
  </si>
  <si>
    <t>Bổ sung kinh phí hỗ trợ đại hội MTTQ phường</t>
  </si>
  <si>
    <t>Kinh phí cho học sinh khuyết tật theo Thông tư liên tịch số 42/2013/TTLT-BGDĐT-BLĐTBXH</t>
  </si>
  <si>
    <t>Kinh phí hỗ trợ học tập đối với trẻ mẫu giáo, học sinh, sinh viên người DTTS rất ít người theo Nghị định số 57/2017/NĐ-CP</t>
  </si>
  <si>
    <t>THUYẾT MINH TÌNH HÌNH SỬ DỤNG NGUỒN DỰ PHÒNG, TĂNG THU VÀ THƯỞNG VƯỢT DỰ TOÁN THU NGÂN SÁCH NĂM 2025</t>
  </si>
  <si>
    <t>Kinh phí thực hiện Chương trình Chào xuân năm 2026</t>
  </si>
  <si>
    <t>Kinh phí hỗ trợ lực lượng chữa cháy rừng, phụ khử trùng tiêu độc, khắc phục thiên tai</t>
  </si>
  <si>
    <t>Hỗ trợ xã Na Rì khắc phục hậu quả thiên tai do cơn bão số 11 (Matmo) gây ra</t>
  </si>
  <si>
    <t>Đơn vị tính: Nghìn đồng</t>
  </si>
  <si>
    <t>Nguồn vốn cân đối ngân sách</t>
  </si>
  <si>
    <t>Năm 2024</t>
  </si>
  <si>
    <t>Năm 2025</t>
  </si>
  <si>
    <t>Kinh phí khen thưởng</t>
  </si>
  <si>
    <t>Nguồn tiết kiệm chi năm 2023</t>
  </si>
  <si>
    <t>Mua sắm ô tô phục vụ công tác chung</t>
  </si>
  <si>
    <t>Kinh phí thực hiện nhiệm vụ quy hoạch, chỉnh lý, lưu trữ, số hóa tài liệu, mua sắm trang thiết bị, phương tiện làm việc</t>
  </si>
  <si>
    <t>Kinh phí chỉnh trang đô thị và hỗ trợ các công trình, nhiệm vụ của địa phương</t>
  </si>
  <si>
    <t>KP hỗ trợ giáo viên và trẻ em NQ 02 và NQ 21</t>
  </si>
  <si>
    <t>KP thực hiện chính sách Bảo trợ xã hội</t>
  </si>
  <si>
    <t>Chính sách bảo trợ XH</t>
  </si>
  <si>
    <t>Kinh phí tổ chức đánh giá, nhận xét sáng kiến kinh nghiệm năm 2025</t>
  </si>
  <si>
    <t>Tiền điện chiếu sáng phố chợ Minh Khai</t>
  </si>
  <si>
    <t>Sửa chữa hệ thống chống sét trường học</t>
  </si>
  <si>
    <t xml:space="preserve">Chính sách nội trú theo Nghị định số 66/2025/NĐ-CP </t>
  </si>
  <si>
    <t>Chế độ giáo viên dạy học sinh khuyết tật hòa nhập theo NĐ28</t>
  </si>
  <si>
    <t>Kinh phí giáo viên dạy tiếng anh khối 1+2</t>
  </si>
  <si>
    <t>Chế độ học sinh bán trú theo NĐ66/2025</t>
  </si>
  <si>
    <t>Ưu đãi giáo viên dạy HS khuyết tật theo NĐ 28</t>
  </si>
  <si>
    <t>Tiền thể dục ngoài trời</t>
  </si>
  <si>
    <t>THUYẾT MINH KẾT DƯ NGÂN SÁCH XÃ NĂM 2025</t>
  </si>
  <si>
    <t>KP thực hiện chương trình mục tiêu phát triển lâm nghiệp bền vững</t>
  </si>
  <si>
    <t>Kinh phí thực hiện nhiệm vụ quy hoạch chung xã</t>
  </si>
  <si>
    <t>Nguồn vốn thực hiện CT MTQG phát triển kinh tế xã hội vùng đồng bào dân tộc thiểu số và miền núi</t>
  </si>
  <si>
    <t>Tiểu dự án 1, Dự án 4: Đầu tư cơ sở hạ tầng thiết yếu, phục vụ sản xuất, đời sống trong vùng đồng bào dân tộc thiểu số và miền núi</t>
  </si>
  <si>
    <t>Nguồn vốn thực hiện CT MTQG giảm nghèo bền vững</t>
  </si>
  <si>
    <t>Tiểu dự án 2, Dự án 7: Giám sát, đánh giá</t>
  </si>
  <si>
    <t>Nội dung số 04, Dự án 1: Hỗ trợ nước sinh hoạt phân tán</t>
  </si>
  <si>
    <t>Tiểu dự án 11, Dự án 6: giảm nghèo về thông tin</t>
  </si>
  <si>
    <t>1.4</t>
  </si>
  <si>
    <t>Tiểu dự án 3, Dự án 10: Kiểm tra, giám sát, đánh giá, đào tạo, tập huấn tổ chức thực hiện Chương trình</t>
  </si>
  <si>
    <t>Dự án 4. Phát triển giáo dục nghề nghiệp, việc làm bền vững</t>
  </si>
  <si>
    <t>3.2</t>
  </si>
  <si>
    <r>
      <t xml:space="preserve">Nguồn vốn xây dựng cơ bản tập trung </t>
    </r>
    <r>
      <rPr>
        <i/>
        <sz val="12"/>
        <rFont val="Times New Roman"/>
        <family val="1"/>
      </rPr>
      <t>(Thừa vốn)</t>
    </r>
  </si>
  <si>
    <t>Dự toán đã phân bổ trong năm hết nhiệm vụ chi bị hủy bỏ và dư nguồn phường điều hành chưa phân bổ</t>
  </si>
  <si>
    <t>THUYẾT MINH TĂNG, GIẢM CHI QUẢN LÝ HÀNH CHÍNH, ĐẢNG, ĐOÀN THỂ NĂM 2025</t>
  </si>
  <si>
    <t>3.3</t>
  </si>
  <si>
    <t>Kinh phí khắc phục hậu quả mưa lũ (đợt 2)</t>
  </si>
  <si>
    <t xml:space="preserve">Tổng số </t>
  </si>
  <si>
    <t>Tổng chi</t>
  </si>
  <si>
    <t>Giao đầu năm</t>
  </si>
  <si>
    <t>Công tác kiểm tra, tuần tra, giải tỏa trật tự đô thị trật tự xây dựng năm 2025</t>
  </si>
  <si>
    <t>KP bổ sung thực hiện nhiệm vụ tuyên truyền Đại hội Đảng bộ phường</t>
  </si>
  <si>
    <t>KP thực hiện các hoạt động kỷ niệm 80 năm Cách mạng tháng 8 và Quốc khánh 02/9</t>
  </si>
  <si>
    <t>KP tổ chức vui Tết Trung thu trên địa bàn phường Đức Xuân</t>
  </si>
  <si>
    <t>KP tổ chức buổi ra mắt CLB văn hóa, nghệ thuật cấp phường</t>
  </si>
  <si>
    <t>KP làm mô hình đèn Trung thu tham gia cuộc thi rước đèn năm 2025</t>
  </si>
  <si>
    <t>KP tặng quà cho trẻ em tại Trung tâm Bảo trợ và Trung tâm giáo dục hòa nhập</t>
  </si>
  <si>
    <t>KP bổ sung thực hiện nhiệm vụ tuyên truyền Đại hội Đảng các cấp</t>
  </si>
  <si>
    <t>KP tổ chức Đại hội MTTQ Việt Nam phường Đức Xuân, nhiệm kỳ 2025 - 2030</t>
  </si>
  <si>
    <t>KP tổ chức Đại hội Liên hiệp Phụ nữ phường Đức Xuân, nhiệm kỳ 2025 - 2030</t>
  </si>
  <si>
    <t>KP tổ chức Đại hội Đoàn TNCS Hồ Chí Minh phường Đức Xuân lần thứ I, nhiệm kỳ 2025 - 2030</t>
  </si>
  <si>
    <t>Đại hội Hội Nông dân phường Đức Xuân lần thứ I, nhiệm kỳ 2025 - 2030</t>
  </si>
  <si>
    <t>Đại hội Hội Cựu Chiến Binh phường Đức Xuân lần thứ I, nhiệm kỳ 2025 - 2030</t>
  </si>
  <si>
    <t>Kinh phí mua phần mềm kế toán HCSN MISA Mimosa Online</t>
  </si>
  <si>
    <t>Kinh phí chi điện nước, Internet</t>
  </si>
  <si>
    <t>Kinh phí phục vụ công tác tuyên truyền</t>
  </si>
  <si>
    <t>Kinh phí hoạt động của Ban Công tác 35</t>
  </si>
  <si>
    <t>Kinh phí mua báo, tạp chí Đảng theo Công văn 141-CV/BTGDV ngày 28/7/2025</t>
  </si>
  <si>
    <t xml:space="preserve">Kinh phí xây dựng văn bản theo Quy định số 72-QĐ/TU ngày 18/7/2025 </t>
  </si>
  <si>
    <t>Kinh phí đặc thù của Ủy ban kiểm tra</t>
  </si>
  <si>
    <t>Kinh phí đặc thù của Thường trực và Văn phòng Đảng ủy</t>
  </si>
  <si>
    <t>Kinh phí thực hiện các nhiệm vụ chuyển giao chính quyền 2 cấp</t>
  </si>
  <si>
    <t>Kinh phí thực hiện chế độ đối với Cựu chiến binh</t>
  </si>
  <si>
    <t>Cuộc vận động toàn dân đoàn kết xây dựng nông thôn mới, đô thị văn minh</t>
  </si>
  <si>
    <t>Kinh phí mua phần mềm quyết toán ngân sách</t>
  </si>
  <si>
    <t>Kinh phí khen thưởng theo Nghị định số 73/2024/NĐ-CP</t>
  </si>
  <si>
    <t>Kinh phí chi trả chế độ cho người nghỉ hưu trước tuổi hưởng chính sách, chế độ theo Nghị định số 178/2024/NĐ-CP và Nghị định số 67/2025/NĐ-CP</t>
  </si>
  <si>
    <t>Kinh phí thực hiện tổ chức Tết Trung thu năm 2025</t>
  </si>
  <si>
    <t>KP chi trả chính sách, chế độ theo Nghị định số 154/2025/NĐ-CP</t>
  </si>
  <si>
    <t>KP chi trả chính sách, chế độ theo Nghị quyết số 07/2025/NQ-CP và Nghị quyết số 25/2025/NQ-HĐND ngày 28/10/2025 của HĐND tỉnh Thái Nguyên</t>
  </si>
  <si>
    <t>Kinh phí xóa nhà tạm nhà dột nát</t>
  </si>
  <si>
    <t>Kinh phí đóng BHXH, BHYT cho cán bộ KCT thôn theo Luật BHXH 2024. NĐ 158/2025/NĐ-CP ngày 25/6/2025</t>
  </si>
  <si>
    <t>Kinh phí mua sắm trang thiết bị</t>
  </si>
  <si>
    <t>Kinh phí thực hiện hỗ trợ nhà cho người có công với cách mạng</t>
  </si>
  <si>
    <t>Kinh phí thực hiện chuỗi sự kiện Chào Xuân 2026</t>
  </si>
  <si>
    <t>Kinh phí thi đua khen thưởng</t>
  </si>
  <si>
    <t xml:space="preserve">Kinh phí chi trả lương, phụ cấp và các khoản nộp theo lương năm 2025 </t>
  </si>
  <si>
    <t xml:space="preserve">Kinh phí mua máy ảnh và các phụ kiện </t>
  </si>
  <si>
    <t>Kinh phí hỗ trợ hoạt động của các Hội (Khuyến học, Chữ thập đỏ, Người cao tuổi, Hội Cựu Thanh niên xung phong, Hội nạn nhân chất độc da cam/dioxin)</t>
  </si>
  <si>
    <t>Kinh phí tổ chức tập huấn Bình dân học vụ</t>
  </si>
  <si>
    <t>Kinh phí tổ chức chương trình gặp mặt CBGV nhân dịp kỷ niệm ngày Nhà giáo Việt Nam 20/11</t>
  </si>
  <si>
    <t xml:space="preserve">Kinh phí hỗ trợ hàng tháng cho chi hội trưởng Chi hội Người cao tuổi </t>
  </si>
  <si>
    <t>Kinh phí quản lý nhà nước HĐND-UBND</t>
  </si>
  <si>
    <t>Kinh phí Ban chỉ đạo PCTT, TKCN</t>
  </si>
  <si>
    <t>Kinh phí sửa chữa, bảo trì, bảo dưỡng, nâng cấp vận hành hệ thống mạng Internet, đường truyền kết nối trực tuyến</t>
  </si>
  <si>
    <t xml:space="preserve">Kinh phí thực hiện các nhiệm vụ chuyển giao chính quyền 2 cấp </t>
  </si>
  <si>
    <t>Kinh phí tăng thêm phụ cấp DQTV theo NĐ 16/2025/NĐ-CP ngày 04/02/2025 của Chính Phủ</t>
  </si>
  <si>
    <t>UBND PHƯỜNG ĐỨC XUÂN</t>
  </si>
  <si>
    <t>Phường Đức Xuân, ngày       tháng 3 năm 2026</t>
  </si>
  <si>
    <t>Nguồn vốn xây dựng cơ bản tập trung</t>
  </si>
  <si>
    <t>Biểu số 70 - TT 342</t>
  </si>
  <si>
    <t>Mẫu số 03</t>
  </si>
  <si>
    <t xml:space="preserve"> BÁO CÁO QUYẾT TOÁN VỐN ĐẦU TƯ CÔNG NGUỒN NGÂN SÁCH NHÀ NƯỚC THEO NĂM NGÂN SÁCH 2025 (NGÂN SÁCH TỈNH QUẢN LÝ)</t>
  </si>
  <si>
    <t>Đơn vị tính: Đồng</t>
  </si>
  <si>
    <t>Số TT</t>
  </si>
  <si>
    <t>Địa điểm mở  tài khoản</t>
  </si>
  <si>
    <t>Mã dự án đầu tư</t>
  </si>
  <si>
    <t>Tổng mức đầu tư</t>
  </si>
  <si>
    <t>Lũy kế vốn đã giải ngân từ khởi công đến hết năm ngân sách trước năm quyết toán</t>
  </si>
  <si>
    <t>Số vốn tạm ứng theo chế độ chưa thu hồi của các năm trước nộp điều chỉnh giảm trong năm quyết toán</t>
  </si>
  <si>
    <t>Thanh toán KLHT trong năm của quyết toán phần vốn tạm ứng theo chế độ chưa thu hồi từ K/C đến hết năm ngân sách trước năm quyết toán</t>
  </si>
  <si>
    <t>Kế hoạch và giải ngân vốn kế hoạch các năm trước được kéo dài thời gian thực hiện và giải ngân sang năm quyết toán</t>
  </si>
  <si>
    <t>Kế hoạch và giải ngân vốn kế hoạch năm quyết toán</t>
  </si>
  <si>
    <t>Số vốn nộp điều chỉnh giảm hoàn trả NSNN trong năm quyết toán do thực hiện kết luận của cơ quan thanh tra, KTNN…(không bao gồm số vốn đã nộp giảm trừ tại cộT 8)</t>
  </si>
  <si>
    <t>Tổng cộng vốn đã thanh toán KLHT được quyết toán trong quyết toán</t>
  </si>
  <si>
    <t>Lũy kế số vốn tạm ứng theo chế độ chưa thu hồi đến hết năm quyết toán chuyển sang các năm sau</t>
  </si>
  <si>
    <t>Lũy kế số vốn đã giải ngân từ K/C đến hết năm quyết toán</t>
  </si>
  <si>
    <t>Vốn kế hoạch được kéo dài</t>
  </si>
  <si>
    <t>Giải ngân</t>
  </si>
  <si>
    <t>Vốn kế hoạch tiếp tục được phép kéo dài thời gian thực hiện và giải ngân sang năm sau quyết toán (nếu có)</t>
  </si>
  <si>
    <t>Số vốn còn lại chưa giải ngân hủy bỏ (nếu có)</t>
  </si>
  <si>
    <t>Vốn kế hoạch năm quyết toán</t>
  </si>
  <si>
    <t>Vốn kế hoạch được phép kéo dài thời gian thực hiện và giải ngân sang năm sau năm quyết toán (nếu có)</t>
  </si>
  <si>
    <t xml:space="preserve">Trong đó: vốn tạm ứng theo chế độ chưa thu hồi </t>
  </si>
  <si>
    <t>Thanh toán KLHT</t>
  </si>
  <si>
    <t xml:space="preserve">Vốn tạm ứng </t>
  </si>
  <si>
    <t>15=10-11-14</t>
  </si>
  <si>
    <t>17=18+19</t>
  </si>
  <si>
    <t>21=16-17-20</t>
  </si>
  <si>
    <t>23=9+12+18</t>
  </si>
  <si>
    <t>24=7-8-9+13+19</t>
  </si>
  <si>
    <t>25=6-8+11+17-22</t>
  </si>
  <si>
    <t>TỔNG SỐ = (A+B)</t>
  </si>
  <si>
    <t>+</t>
  </si>
  <si>
    <t>- Giải ngân theo cơ chế ghi thu, ghi chi</t>
  </si>
  <si>
    <t>- Giải ngân theo cơ chế tài chính trong nước</t>
  </si>
  <si>
    <t>Mã ngành 070 - Giáo dục - đào tạo và dạy nghề</t>
  </si>
  <si>
    <t>CÁC DỰ ÁN THUỘC KẾ HOẠCH NĂM 2025</t>
  </si>
  <si>
    <t>Chi XDCB vốn tập trung trong nước</t>
  </si>
  <si>
    <t>KBNN khu vực VII - PGD số 4</t>
  </si>
  <si>
    <t>Vũ Quỳnh Nga</t>
  </si>
  <si>
    <t>Biểu số 01</t>
  </si>
  <si>
    <t xml:space="preserve"> BÁO CÁO QUYẾT TOÁN VỐN ĐẦU TƯ CÔNG NGUỒN NGÂN SÁCH NHÀ NƯỚC THEO NĂM NGÂN SÁCH 2025 (NGÂN SÁCH PHƯỜNG QUẢN LÝ)</t>
  </si>
  <si>
    <t>25=6-8+11+17</t>
  </si>
  <si>
    <t>TỔNG SỐ = (A+B+C)</t>
  </si>
  <si>
    <t>Giáo dục - đào tạo và dạy nghề</t>
  </si>
  <si>
    <t>Các hoạt động kinh tế</t>
  </si>
  <si>
    <t>Nguồn vốn từ thu tiền sử dụng đất</t>
  </si>
  <si>
    <t>Mã ngành 280 - Các hoạt động kinh tế</t>
  </si>
  <si>
    <t>Nâng cấp đường QL3 cũ đoạn qua tổ 1,2,3 phường Nguyễn Thị Minh Khai thành phố Bắc Kạn</t>
  </si>
  <si>
    <t>Quy hoạch phân khu N7 - khu vực đô thị trung tâm phía Đông thành phố Bắc Kạn, tỷ lệ 1/2000</t>
  </si>
  <si>
    <t>Hạ tầng kỹ thuật cụm công nghiệp Huyền Tụng, thành phố Bắc Kạn, tỉnh Bắc Kạn</t>
  </si>
  <si>
    <t>Nguồn vốn ngân sách TW</t>
  </si>
  <si>
    <t>Mã ngành 280 - Chi các hoạt động kinh tế</t>
  </si>
  <si>
    <t xml:space="preserve">Nguồn vốn Cân đối ngân sách địa phương </t>
  </si>
  <si>
    <t>TM.UỶ BAN NHÂN DÂN</t>
  </si>
  <si>
    <t>Vốn Đầu tư</t>
  </si>
  <si>
    <t>Vốn thường xuyên</t>
  </si>
  <si>
    <t>BÁO CÁO CHI TIẾT KẾT DƯ NĂM 2025</t>
  </si>
  <si>
    <t>Biểu số 02</t>
  </si>
  <si>
    <t>Đơn vị tính: nghìn đồng</t>
  </si>
  <si>
    <t>Số kinh phí NS tỉnh bổ sung có mục tiêu</t>
  </si>
  <si>
    <t xml:space="preserve">Kinh phí còn lại </t>
  </si>
  <si>
    <t>Kinh phí</t>
  </si>
  <si>
    <t>Đã hạch toán vào lĩnh vực (2)</t>
  </si>
  <si>
    <t>Chuyển trả ngân sách tỉnh</t>
  </si>
  <si>
    <t>4=(1-2)</t>
  </si>
  <si>
    <t>Biểu số 03</t>
  </si>
  <si>
    <t>Số quyết toán</t>
  </si>
  <si>
    <t>1=(2+3)</t>
  </si>
  <si>
    <t>Biểu số 04</t>
  </si>
  <si>
    <t>Ngân sách huyện</t>
  </si>
  <si>
    <t>Biểu số 05</t>
  </si>
  <si>
    <t>Quyết toán chi chương trình mục tiêu quốc gia, một số mục tiêu nhiệm vụ khác năm 2025</t>
  </si>
  <si>
    <t>Kinh phí chuyển nguồn năm trước sang</t>
  </si>
  <si>
    <t>Dự toán giao năm 2025</t>
  </si>
  <si>
    <t>Quyết toán năm 2025</t>
  </si>
  <si>
    <t>Số chuyển nguồn sang năm 2026</t>
  </si>
  <si>
    <t>Hoàn trả ngân sách</t>
  </si>
  <si>
    <t>Kết dư 
(nếu có)</t>
  </si>
  <si>
    <t>Căn cứ/Lý do hoàn trả</t>
  </si>
  <si>
    <t>Số dư năm 2021 kéo dài sang</t>
  </si>
  <si>
    <t>KP Chuyển nguồn năm 2022 sang</t>
  </si>
  <si>
    <t>KP Chuyển nguồn năm 2023 sang</t>
  </si>
  <si>
    <t>KP Chuyển nguồn năm 2024 sang</t>
  </si>
  <si>
    <t>Điều chỉnh tăng (+)/giảm (-)</t>
  </si>
  <si>
    <t xml:space="preserve">Số dư năm 2021 kéo dài sang </t>
  </si>
  <si>
    <t xml:space="preserve">KP Chuyển nguồn năm 2022 sang </t>
  </si>
  <si>
    <t xml:space="preserve">KP Chuyển nguồn năm 2023 sang </t>
  </si>
  <si>
    <t xml:space="preserve">KP Chuyển nguồn năm 2024 sang </t>
  </si>
  <si>
    <t>KP được giao năm 2025</t>
  </si>
  <si>
    <t>Năm 2022</t>
  </si>
  <si>
    <t>Năm 2023</t>
  </si>
  <si>
    <t>Tổng số:</t>
  </si>
  <si>
    <t>CHƯƠNG TRÌNH MTQG</t>
  </si>
  <si>
    <t>Nguồn NSTW</t>
  </si>
  <si>
    <t>Nguồn Ngân sách tỉnh</t>
  </si>
  <si>
    <t>Chương trình MTQG giảm nghèo bền vững</t>
  </si>
  <si>
    <t>Chương trình MTQG phát triển KT-XH vùng đồng bào DTTS&amp;MN</t>
  </si>
  <si>
    <t>BỔ SUNG CÓ MỤC TIÊU</t>
  </si>
  <si>
    <t>Ghi chú: 
             - Số liệu quyết toán năm 2025 của từng chương trình  mục tiêu (cột 15) đảm bảo khớp đúng với  số liệu báo cáo tại mẫu biểu số 65 (Quyết toán chi chương trình mục tiêu theo mục lục NSNN).
             - Đối với kinh phí hoàn trả ngân sách, đề nghị thuyết minh chi tiết căn cứ/lý do hoàn trả ngân sách của từng chương trình/dự án.</t>
  </si>
  <si>
    <t>Biểu số 06</t>
  </si>
  <si>
    <t>Tỉnh</t>
  </si>
  <si>
    <t>Xã</t>
  </si>
  <si>
    <t>Thu tiền sử dụng đất năm 2025</t>
  </si>
  <si>
    <t>Thu năm trước chuyển sang</t>
  </si>
  <si>
    <t>Thu tiền sử dụng đất được bổ sung có mục tiêu trong năm</t>
  </si>
  <si>
    <t>Chi từ nguồn thu tiền sử dụng đất năm 2025</t>
  </si>
  <si>
    <t>Phần chi cho các công trình, dự án</t>
  </si>
  <si>
    <t>Ghi thu ghi chi</t>
  </si>
  <si>
    <t>Chuyển nguồn sang 2026</t>
  </si>
  <si>
    <t>Kinh phí còn lại chưa phân bổ</t>
  </si>
  <si>
    <t>Biểu số 07</t>
  </si>
  <si>
    <t>Chi ĐT XDCB</t>
  </si>
  <si>
    <t>Chi TX</t>
  </si>
  <si>
    <t>Nguồn thu:</t>
  </si>
  <si>
    <t>Chi từ nguồn huy động đóng góp khác</t>
  </si>
  <si>
    <t>(ký tên và đóng dấu)</t>
  </si>
  <si>
    <t>Nâng cấp đường QL3 cũ đoạn qua tổ 1, 2, 3 phường Nguyễn Thị Minh Khai thành phố Bắc Kạn</t>
  </si>
  <si>
    <t>Các dự án</t>
  </si>
  <si>
    <t>TRƯỞNG PHÒNG KINH TẾ, HẠ TẦNG VÀ ĐÔ THỊ</t>
  </si>
  <si>
    <t>BÁO CÁO TÌNH HÌNH SỬ DỤNG NGUỒN BỔ SUNG CÓ MỤC TIÊU 
TỪ NGÂN SÁCH TỈNH NĂM 2025</t>
  </si>
  <si>
    <t>Kinh phí chi trả cho cán bộ theo Nghị định số 178</t>
  </si>
  <si>
    <t>QĐ số 879/QĐ-UBND của UBND tỉnh</t>
  </si>
  <si>
    <t>Kinh phí tặng quà cho nhân dân dịp Quốc Khánh 02/9</t>
  </si>
  <si>
    <t>Kinh phí chi trả cho cán bộ nghỉ hưu trước tuổi theo NĐ 178</t>
  </si>
  <si>
    <t>Kinh phí thực hiện sắp xếp đơn vị hành chính cấp xã theo NQ 76</t>
  </si>
  <si>
    <t>Kinh phí tổ chức Tết Trung thu</t>
  </si>
  <si>
    <t>Khắc phục hậu quả mưa lũ (đợt 1)</t>
  </si>
  <si>
    <t>Khắc phục hậu quả mưa lũ (đợt 2)</t>
  </si>
  <si>
    <t>Kinh phí chi trả thực hiện NĐ 154</t>
  </si>
  <si>
    <t>Kinh phí chi trả thực hiện NQ 07</t>
  </si>
  <si>
    <t>Kinh phí thực hiện xóa nhà tạm</t>
  </si>
  <si>
    <t>Kinh phí xóa nhà tạm, nhà dột nát</t>
  </si>
  <si>
    <t>Kinh phí Tặng quà Tết</t>
  </si>
  <si>
    <t>Kinh phí thực hiện nhiệm vụ quy hoạch, chỉnh lý, số hóa, mua sắm</t>
  </si>
  <si>
    <t>KP thực hiện an sinh XH (TW)</t>
  </si>
  <si>
    <t>KP thực hiện an sinh XH (ĐP)</t>
  </si>
  <si>
    <t>KP chỉnh trang đô thị</t>
  </si>
  <si>
    <t>Chương trình MTQG phát triển KT-XH vùng đồng bào dân tộc thiểu số và miền núi</t>
  </si>
  <si>
    <t>Bổ sung trong năm</t>
  </si>
  <si>
    <r>
      <t xml:space="preserve">Ghi chú
</t>
    </r>
    <r>
      <rPr>
        <i/>
        <sz val="10"/>
        <color theme="1"/>
        <rFont val="Times New Roman"/>
        <family val="1"/>
      </rPr>
      <t>(QĐ phân bổ kinh phí của UBND tỉnh; QĐ chuyển trả ngân sách tỉnh của UBND xã/phường )</t>
    </r>
  </si>
  <si>
    <t>Hạ tầng kỹ thuật Cụm công nghiệp Huyền Tụng</t>
  </si>
  <si>
    <t>QĐ số 1015/QĐ-UBND ngày 30/8/2025</t>
  </si>
  <si>
    <t>QĐ số 1015/QĐ-UBND ngày 30/8/2026</t>
  </si>
  <si>
    <t>QĐ số 1015/QĐ-UBND ngày 30/8/2027</t>
  </si>
  <si>
    <t>QĐ số 1015/QĐ-UBND ngày 30/8/2028</t>
  </si>
  <si>
    <t>Kinh phí thực hiện quy hoạch chung xã</t>
  </si>
  <si>
    <t>CHI TIẾT THU KHÁC NGÂN SÁCH NĂM 2025</t>
  </si>
  <si>
    <t>CHI TIẾT CHI KHÁC NGÂN SÁCH NĂM 2025</t>
  </si>
  <si>
    <t>Hỗ trợ hoạt động đơn vị Kho bạc Nhà nước khu vực VII - Phòng giao dịch số 4</t>
  </si>
  <si>
    <t>Hỗ trợ hoạt động đơn vị Công an phường Đức Xuân</t>
  </si>
  <si>
    <t>Tiểu dự án 2, Dự án 4. Hỗ trợ người lao động đi làm việc ở nước ngoài theo hợp đồng</t>
  </si>
  <si>
    <t>Tiểu dự án 1, Dự án 6. Giảm nghèo về thông tin</t>
  </si>
  <si>
    <t>Tiểu dự án 2, Dự án 6. Giảm nghèo về thông tin</t>
  </si>
  <si>
    <t>Tiểu dự án 1, Dự án 7. Nâng cao năng lực thực hiện Chương trình</t>
  </si>
  <si>
    <t>Tiểu dự án 2, Dự án 7. Giám sát, đánh giá</t>
  </si>
  <si>
    <t>Nội dung số 4, Dự án 1. Hỗ trợ nước sinh hoạt phân tán</t>
  </si>
  <si>
    <t>Tiểu dự án 1, Dự án 4. Đầu tư cơ sở hạ tầng thiết yếu, phục vụ sản xuất, đời sống trong vùng đồng bào dân tộc thiểu số và miền núi</t>
  </si>
  <si>
    <t>Tiểu dự án 4, Dự án 5. Đào tạo nâng cao năng lực cho cộng đồng và cán bộ triển khai Chương trình ở các cấp</t>
  </si>
  <si>
    <t>Dự án 8. Thực hiện bình đẳng giới và giải quyết những vấn đề cấp thiết đối với phụ nữ và trẻ em</t>
  </si>
  <si>
    <t xml:space="preserve">Kinh phí thực hiện chương trình phát triển lâm nghiệp bền vững </t>
  </si>
  <si>
    <t xml:space="preserve">Kinh phí hỗ trợ địa phương thực hiện bảo trì đường bộ </t>
  </si>
  <si>
    <t>I. CHƯƠNG TRÌNH MỤC TIÊU QUỐC GIA</t>
  </si>
  <si>
    <t>II. BỔ SUNG CÓ MỤC TIÊU</t>
  </si>
  <si>
    <t>Nguồn huy động đóng góp khác</t>
  </si>
  <si>
    <t>Sự nghiệp kinh tế</t>
  </si>
  <si>
    <t>CHI TIẾT KHOẢN THU TIỀN SỬ DỤNG ĐẤT NĂM 2025</t>
  </si>
  <si>
    <t>QĐ 984/QĐ-UBND ngày 30/8/2025</t>
  </si>
  <si>
    <t>QĐ 993/QĐ-UBND ngày 30/8/2025</t>
  </si>
  <si>
    <t>QĐ 1013/QĐ-UBND ngày 30/8/2025</t>
  </si>
  <si>
    <t>QĐ 994/QĐ-UBND ngày 30/8/2025</t>
  </si>
  <si>
    <t>QĐ 1017/QĐ-UBND ngày 31/8/2025</t>
  </si>
  <si>
    <t>QĐ 1370/QĐ-UBND ngày 03/10/2025</t>
  </si>
  <si>
    <t>QĐ 1438/QĐ-UBND ngày 09/10/2025</t>
  </si>
  <si>
    <t>QĐ 1569/QĐ-UBND ngày 18/10/2025</t>
  </si>
  <si>
    <t>QĐ 1613/QĐ-UBND ngày 23/10/2025</t>
  </si>
  <si>
    <t>QĐ 1628/QĐ-UBND ngày 24/10/2025</t>
  </si>
  <si>
    <t>QĐ 1722/QĐ-UBND ngày 31/10/2025</t>
  </si>
  <si>
    <t>QĐ 2144/QĐ-UBND ngày 06/12/2025</t>
  </si>
  <si>
    <t>QĐ 2532/QĐ-UBND ngày 29/12/2025</t>
  </si>
  <si>
    <t>QĐ 2579/QĐ-UBND ngày 30/12/2025</t>
  </si>
  <si>
    <t>QĐ 2598/QĐ-UBND ngày 30/12/2025</t>
  </si>
  <si>
    <t>QĐ 2599/QĐ-UBND ngày 30/12/2025</t>
  </si>
  <si>
    <t>QĐ 2634/QĐ-UBND ngày 31/12/2025</t>
  </si>
  <si>
    <t>QĐ 2683/QĐ-UBND ngày 31/12/2025</t>
  </si>
  <si>
    <t>QĐ 2798/QĐ-UBND ngày 31/12/2025</t>
  </si>
  <si>
    <t>Văn hóa thông tin, các hoạt động kinh tế, sự nghiệp giáo dục, bảo đảm xã hội</t>
  </si>
  <si>
    <t>Văn hóa thông tin, quản lý nhà nước</t>
  </si>
  <si>
    <t>Quản lý nhà nước</t>
  </si>
  <si>
    <t>Bảo đảm xã hội</t>
  </si>
  <si>
    <t>Quản lý nhà nước, Bảo đảm xã hội, Giáo dục đào tạo</t>
  </si>
  <si>
    <t>Phạt vi phạm hành chính trong lĩnh vực giao thông</t>
  </si>
  <si>
    <t>Phạt vi phạm hành chính trong các lĩnh vực khác</t>
  </si>
  <si>
    <t>Phạt vi phạm khác</t>
  </si>
  <si>
    <t>Các khoản thu khác</t>
  </si>
  <si>
    <t>QUYẾT TOÁN THU CHI NGUỒN THU QUẢN LÝ QUA NSNN NĂM 2025</t>
  </si>
  <si>
    <t>Quy hoạch phân khu N7- khu đô thị trung tâm phía Đông, thành phố Bắc Kạn, tỷ lệ 1/2000</t>
  </si>
  <si>
    <t>Quy hoạch phân khu N3- khu vực đô thị trung tâm phường Huyền Tụng, thành phố Bắc Kạn, tỷ lệ 1/2000</t>
  </si>
  <si>
    <t>Đức Xuân, ngày 31 tháng 3 năm 2026</t>
  </si>
  <si>
    <t>Tiểu nhóm</t>
  </si>
  <si>
    <t>Cấp 1</t>
  </si>
  <si>
    <t>Chương 009</t>
  </si>
  <si>
    <t>Nhóm 0110</t>
  </si>
  <si>
    <t>Nhóm 0200</t>
  </si>
  <si>
    <t>Chương 010</t>
  </si>
  <si>
    <t>Chương 014</t>
  </si>
  <si>
    <t>Chương 123</t>
  </si>
  <si>
    <t>Chương 124</t>
  </si>
  <si>
    <t>Chương 142</t>
  </si>
  <si>
    <t>Chương 151</t>
  </si>
  <si>
    <t>Chương 176</t>
  </si>
  <si>
    <t>Cấp 2</t>
  </si>
  <si>
    <t>Chương 412</t>
  </si>
  <si>
    <t>Chương 416</t>
  </si>
  <si>
    <t>Chương 423</t>
  </si>
  <si>
    <t>Chương 426</t>
  </si>
  <si>
    <t>Chương 437</t>
  </si>
  <si>
    <t>Chương 554</t>
  </si>
  <si>
    <t>Chương 555</t>
  </si>
  <si>
    <t>Cấp 4</t>
  </si>
  <si>
    <t>Chương 822</t>
  </si>
  <si>
    <t>Chương 830</t>
  </si>
  <si>
    <t>Chương 831</t>
  </si>
  <si>
    <t>Chương 833</t>
  </si>
  <si>
    <t>Chương 854</t>
  </si>
  <si>
    <t>Chương 855</t>
  </si>
  <si>
    <t>Chương 857</t>
  </si>
  <si>
    <t>Chương 859</t>
  </si>
  <si>
    <t>Chương 860</t>
  </si>
  <si>
    <t>Nhóm</t>
  </si>
  <si>
    <t>5=6+7</t>
  </si>
  <si>
    <t>TỔNG SỐ (đã loại trừ hoàn thuế GTGT)</t>
  </si>
  <si>
    <t>Tiểu nhóm 0114</t>
  </si>
  <si>
    <t>Mục 2750</t>
  </si>
  <si>
    <t>Mục 2800</t>
  </si>
  <si>
    <t>Tiểu nhóm 0118</t>
  </si>
  <si>
    <t>Mục 4250</t>
  </si>
  <si>
    <t>Tiểu nhóm 0122</t>
  </si>
  <si>
    <t>Mục 4900</t>
  </si>
  <si>
    <t>Tiểu nhóm 0111</t>
  </si>
  <si>
    <t>Mục 1050</t>
  </si>
  <si>
    <t>Tiểu nhóm 0112</t>
  </si>
  <si>
    <t>Mục 1600</t>
  </si>
  <si>
    <t>Tiểu nhóm 0113</t>
  </si>
  <si>
    <t>Mục 1700</t>
  </si>
  <si>
    <t>Mục 4300</t>
  </si>
  <si>
    <t>Mục 2850</t>
  </si>
  <si>
    <t>Mục 1550</t>
  </si>
  <si>
    <t>Mục 2600</t>
  </si>
  <si>
    <t>Mục 1000</t>
  </si>
  <si>
    <t>Mục 2700</t>
  </si>
  <si>
    <t>Tiểu nhóm 0120</t>
  </si>
  <si>
    <t>Mục 4500</t>
  </si>
  <si>
    <t>Mục 2650</t>
  </si>
  <si>
    <t>Mục 1750</t>
  </si>
  <si>
    <t>Mục 1400</t>
  </si>
  <si>
    <t>Tiểu nhóm 0121</t>
  </si>
  <si>
    <t>Mục 4650</t>
  </si>
  <si>
    <t>Mục 4800</t>
  </si>
  <si>
    <t>Tiểu mục 4801</t>
  </si>
  <si>
    <t>Mục 0900</t>
  </si>
  <si>
    <t>N</t>
  </si>
  <si>
    <t>TN</t>
  </si>
  <si>
    <t>Biểu số 59 - TT 26</t>
  </si>
  <si>
    <t>2. Các khoản thu phân chia giữa NSTW và NSĐP</t>
  </si>
  <si>
    <t>3. Thu từ quỹ dự trữ tài chính</t>
  </si>
  <si>
    <t>4. Thu kết dư năm trước</t>
  </si>
  <si>
    <t>5. Thu chuyển nguồn từ năm trước sang</t>
  </si>
  <si>
    <t>6. Thu viện trợ</t>
  </si>
  <si>
    <t>7. Thu bổ sung từ ngân sách cấp trên</t>
  </si>
  <si>
    <t xml:space="preserve"> - Kết dư ngân sách năm quyết toán  = Thu - Chi</t>
  </si>
  <si>
    <t>4. Chi viện trợ</t>
  </si>
  <si>
    <t>5. Chi cho vay theo quy định của Chính phủ</t>
  </si>
  <si>
    <t>6. Chi bổ sung quỹ dự trữ tài chính</t>
  </si>
  <si>
    <t>7. Chi bổ sung cho ngân sách cấp dưới</t>
  </si>
  <si>
    <t>8. Chi chuyển nguồn sang năm sau</t>
  </si>
  <si>
    <t>9. Chi nộp ngân sách cấp trên</t>
  </si>
  <si>
    <t>10. Chi hỗ trợ thực hiện một số nhiệm vụ quy định tại các điểm a, b và c khoản 5 Điều 9 Luật Ngân sách nhà nước</t>
  </si>
  <si>
    <t>Phường Đức Xuân, ngày         tháng 3 năm 2026</t>
  </si>
  <si>
    <t xml:space="preserve">Biểu số 60 - TT 26 </t>
  </si>
  <si>
    <t>Thu NSĐP</t>
  </si>
  <si>
    <t>Gồm:</t>
  </si>
  <si>
    <t>8=3/1</t>
  </si>
  <si>
    <t>9=3/2</t>
  </si>
  <si>
    <t>P. Đức Xuân, ngày       tháng 3 năm 2026</t>
  </si>
  <si>
    <t xml:space="preserve">Biểu số 61 - TT 26 </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</si>
  <si>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</si>
  <si>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Cấp bù chênh lệch lãi suất, phí quản lý và ủy thác cho vay qua ngân hàng chính sách để thực hiện các chính sách phát triển kinh tế - xã hội tại địa phương</t>
  </si>
  <si>
    <t>Chi trả nợ lãi vay theo quy định</t>
  </si>
  <si>
    <t>Chi hỗ trợ thực hiện một số nhiệm vụ quy định tại các điểm a, b và c khoản 5 Điều 9 Luật Ngân sách nhà nước</t>
  </si>
  <si>
    <t xml:space="preserve">Biểu số 62 - TT 26 </t>
  </si>
  <si>
    <t>QUYẾT TOÁN THU NSNN, VAY NSĐP THEO MỤC LỤC NSNN NĂM 2025</t>
  </si>
  <si>
    <t>Cấp</t>
  </si>
  <si>
    <t>NS xã</t>
  </si>
  <si>
    <t>Đơn vị tính: Đồng./.</t>
  </si>
  <si>
    <t>Chương 558</t>
  </si>
  <si>
    <t>Chương 560</t>
  </si>
  <si>
    <t>Chương 565</t>
  </si>
  <si>
    <t>Chương 858</t>
  </si>
  <si>
    <t>Chương 990</t>
  </si>
  <si>
    <t>0915</t>
  </si>
  <si>
    <t>0911</t>
  </si>
  <si>
    <t>0913</t>
  </si>
  <si>
    <t>0914</t>
  </si>
  <si>
    <t>0917</t>
  </si>
  <si>
    <t>Biểu số 64 - TT 26</t>
  </si>
  <si>
    <t>CÁN BỘ TRÌNH</t>
  </si>
  <si>
    <t>P. Đức Xuân, ngày      tháng 3 năm 2026</t>
  </si>
  <si>
    <t>Biểu số 65 - TT 26</t>
  </si>
  <si>
    <t>Biểu số 66 - TT 26</t>
  </si>
  <si>
    <t>Trung ương bổ sung có mục tiêu</t>
  </si>
  <si>
    <t>Đức Xuân, ngày     tháng 3 năm 2026</t>
  </si>
  <si>
    <t>Biểu số 67 - TT 26</t>
  </si>
  <si>
    <t>Biểu số 69 - TT 26</t>
  </si>
  <si>
    <t>BÁO CÁO CHI CHUYỂN NGUỒN SANG NĂM SAU NĂM 2025</t>
  </si>
  <si>
    <t>Biểu số 71 - TT 26</t>
  </si>
  <si>
    <t>Các đơn vị thuộc phạm vi quản lý</t>
  </si>
  <si>
    <t>Biểu số 72 - TT 26</t>
  </si>
  <si>
    <t>TÌNH HÌNH THỰC HIỆN KẾ HOẠCH TÀI CHÍNH CỦA CÁC QUỸ TÀI CHÍNH NHÀ NƯỚC NGOÀI NGÂN SÁCH NĂM 2025</t>
  </si>
  <si>
    <r>
      <t xml:space="preserve">Trong đó: Hỗ trợ từ NSNN </t>
    </r>
    <r>
      <rPr>
        <sz val="10"/>
        <color indexed="8"/>
        <rFont val="Times New Roman"/>
        <family val="1"/>
      </rPr>
      <t>(nếu có)</t>
    </r>
  </si>
  <si>
    <t>Tr.đó: Bổ sung vốn điều lệ (nếu có)</t>
  </si>
  <si>
    <t>6=2-4</t>
  </si>
  <si>
    <t>11=6-8</t>
  </si>
  <si>
    <t>12=1+6-8</t>
  </si>
  <si>
    <t>Chi đầu tư</t>
  </si>
  <si>
    <t>Các khoản dự toán được Thủ tướng Chính phủ, Ủy ban nhân dân các cấp bổ sung sau ngày 30 tháng 9 năm thực hiện dự toán, trừ trường hợp đã hết nhiệm vụ chi</t>
  </si>
  <si>
    <t>Chi đầu tư phát triển thực hiện chuyển sang năm sau đối với kế hoạch vốn đầu tư công được kéo dài thời gian thực hiện và giải ngân theo quy định của Luật đầu tư công</t>
  </si>
  <si>
    <t>Dư tạm ứng theo chế độ chưa thu hồi còn lại (sau khi trừ đi số nộp điều chỉnh giảm trong năm quyết toán (nếu có) của phần vốn tạm ứng theo chế độ chưa thu hồi từ các năm trước)</t>
  </si>
  <si>
    <t>Các dự án, công trình được bổ sung vốn sau ngày 30 tháng 9 theo quy định tại Khoản 1 Điều 72 của Luật số 58/2025/QH15 được sửa đổi, bổ sung tại Điểm a, Khoản 33 Điều 7 Luật số 90/2025/QH15</t>
  </si>
  <si>
    <t>Các dự án, công trình được cấp có thẩm quyền cho phép kéo dài thời gian thực hiện và giải ngân vốn kế hoạch đầu tư công theo quy định tại Khoản 2, Điều 72 của Luật số 58/2025/QH15 được sửa đổi, bổ sung tại Điểm b, Khoản 33 Điều 7 Luật số 90/2025/QH15</t>
  </si>
  <si>
    <t>Các chương trình mục tiêu quốc gia đang trong thời gian thực hiện theo nghị quyết của Quốc hội nhưng không quá ngày 31 tháng 12 năm sau</t>
  </si>
  <si>
    <t>Chương trình MTQG xây dựng NTM</t>
  </si>
  <si>
    <t>Chi mua sắm hàng hóa, dịch vụ, sửa chữa, cải tạo, nâng cấp, mở rộng, xây dựng mới hạng mục công trình trong các dự án đã đầu tư xây dựng, đặt hàng, giao nhiệm vụ đã đầy đủ hồ sơ, đã ký hợp đồng hoặc đã hoàn thành đấu thầu theo quy định của pháp luật về đấu thầu trước ngày 31 tháng 12 năm thực hiện dự toán</t>
  </si>
  <si>
    <t>Nguồn thực hiện chính sách tiền lương, phụ cấp, trợ cấp và các khoản tính theo tiền lương; nguồn thực hiện các chính sách an sinh xã hội</t>
  </si>
  <si>
    <t>Chi khoa học, công nghệ, đổi mới sáng tạo và chuyển đổi số</t>
  </si>
  <si>
    <t>Chi dự trữ quốc gia</t>
  </si>
  <si>
    <t>Các khoản chi viện trợ cho các Chính phủ nước ngoài đã được cấp có thẩm quyền giao dự toán</t>
  </si>
  <si>
    <t>Các khoản chi từ nguồn viện trợ không hoàn lại cho Việt Nam, các khoản tài trợ, đóng góp tự nguyện đã được xác định nhiệm vụ chi cụ thể</t>
  </si>
  <si>
    <t>Các khoản kinh phí phải hoàn trả ngân sách cấp trên theo kết luận, kiến nghị của cơ quan thanh tra, kiểm toán</t>
  </si>
  <si>
    <t>Các khoản tăng thu so với dự toán, dự toán chi còn lại của cấp ngân sách được sử dụng theo quy định tại khoản 2 Điều 61 của Luật ngân sách nhà nước, trường hợp phương án sử dụng đã được cấp có thẩm quyền quyết định sử dụng vào năm sau thì được chuyển nguồn sang năm sau để thực hiện</t>
  </si>
  <si>
    <t>Các khoản chuyển nguồn khác theo quy định của pháp luật</t>
  </si>
  <si>
    <t>Năm báo cáo so với năm liền kề</t>
  </si>
  <si>
    <t>Giải trình</t>
  </si>
  <si>
    <t>Kinh phí khắc phục cơn bão số 11</t>
  </si>
  <si>
    <t>Khắc phục sạt lở đất tại trường Tiểu học Đức Xuân cơ sở 2, phường Đức Xuân</t>
  </si>
  <si>
    <t>Tiết kiệm chi</t>
  </si>
  <si>
    <t>Kinh phí thực hiện kiểm kê đất đai và lập bản đồ hiện trạng sử dụng đất năm 2024 (thuộc địa bàn phường Nguyễn Thị Minh Khai, phường Đức Xuân, phường Huyền Tụng trước sáp nhập)</t>
  </si>
  <si>
    <t>7=4-1</t>
  </si>
  <si>
    <t>8=4/1</t>
  </si>
  <si>
    <t xml:space="preserve">Nhiệm vụ phát sinh trong năm </t>
  </si>
  <si>
    <t>Nhiệm vụ phát sinh trong năm</t>
  </si>
  <si>
    <t>Trong năm không phát sinh nhiệm vụ</t>
  </si>
  <si>
    <t>UBND tỉnh cấp BS kinh phí trong năm</t>
  </si>
  <si>
    <t>Công trình thực hiện mới trong năm 2025</t>
  </si>
  <si>
    <t>KP của 3 xã phường chuyển nguồn sang năm 2025</t>
  </si>
  <si>
    <t>Rà soát KP còn dư hủy dự toán các nhiệm vụ trong năm 2025</t>
  </si>
  <si>
    <t>Kinh phí chuyển nguồn từ năm trước sang</t>
  </si>
  <si>
    <t>Kinh phí được giao năm 2025</t>
  </si>
  <si>
    <t>*</t>
  </si>
  <si>
    <t>Chi đầu tư phát triển cho chương trình, dự án theo nguồn vốn</t>
  </si>
  <si>
    <t>Chi xây dựng cơ bản tập trung</t>
  </si>
  <si>
    <t>Ngân sách tỉnh phân cấp cho xã</t>
  </si>
  <si>
    <t>Chi từ nguồn thu tiền sử dụng đất</t>
  </si>
  <si>
    <t>Chi đầu tư cho các chương trình, dự án, nhiệm vụ và đối tượng đầu tư công khác do địa phương quản lý theo quy định của Luật Đầu tư công và thực hiện nhiệm vụ chi quy định tại điểm d khoản 5 Điều 99 Luật Ngân sách nhà nước, chi tiết theo từng lĩnh vực</t>
  </si>
  <si>
    <t>Nguồn tài trợ, huy động đóng góp</t>
  </si>
  <si>
    <t>Chi chương trình MTQG, chương trình mục tiêu, hỗ trợ có mục tiêu khác - Vốn đầu tư Ngân sách Trung ương</t>
  </si>
  <si>
    <t>Vốn thực hiện các Chương trình MTQG</t>
  </si>
  <si>
    <t>CTMTQG phát triển kinh tế - xã hội vùng đồng bào dân tộc thiểu số và miền núi</t>
  </si>
  <si>
    <t>CƠ QUAN THANH TOÁN</t>
  </si>
  <si>
    <t>QUYẾT TOÁN CHI, TRẢ NỢ NSĐP THEO MỤC LỤC NSNN NĂM 2025</t>
  </si>
  <si>
    <t>Số QT</t>
  </si>
  <si>
    <t>0950</t>
  </si>
  <si>
    <t>0964</t>
  </si>
  <si>
    <t>0965</t>
  </si>
  <si>
    <t>011</t>
  </si>
  <si>
    <t>N 500</t>
  </si>
  <si>
    <t>TN 129</t>
  </si>
  <si>
    <t>TN 130</t>
  </si>
  <si>
    <t>TN 132</t>
  </si>
  <si>
    <t>041</t>
  </si>
  <si>
    <t>071</t>
  </si>
  <si>
    <t>N 700</t>
  </si>
  <si>
    <t>TN 136</t>
  </si>
  <si>
    <t>072</t>
  </si>
  <si>
    <t>073</t>
  </si>
  <si>
    <t>TN 131</t>
  </si>
  <si>
    <t>0961</t>
  </si>
  <si>
    <t>0962</t>
  </si>
  <si>
    <t>0967</t>
  </si>
  <si>
    <t>Chi NS cấp tỉnh</t>
  </si>
  <si>
    <t xml:space="preserve">Biểu số 63 - TT 26 </t>
  </si>
  <si>
    <t>HĐND PHƯỜNG ĐỨC XUÂN</t>
  </si>
  <si>
    <t>Mẫu số 01/QTNĐ</t>
  </si>
  <si>
    <t>(kèm theo Thông tư số 91/2025/TT-BTC ngày 26/9/2025 của Bộ trưởng Bộ Tài chính)</t>
  </si>
  <si>
    <t>Kế hoạch vốn chưa phân bổ</t>
  </si>
  <si>
    <t>QUYẾT TOÁN VỐN ĐẦU TƯ CÔNG NGUỒN NGÂN SÁCH NHÀ NƯỚC THEO NĂM NGÂN SÁCH 2025 (NGÂN SÁCH PHƯỜNG QUẢN LÝ)</t>
  </si>
  <si>
    <t>TM. UỶ BAN NHÂN DÂN</t>
  </si>
  <si>
    <t>(Kèm theo Tờ trình số    /TTr-KTHT&amp;ĐT ngày      /4/2026 của phòng KTHT&amp;ĐT phường Đức Xuân)</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</si>
</sst>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1" formatCode="_(* #,##0_);_(* \(#,##0\);_(* &quot;-&quot;_);_(@_)"/>
    <numFmt numFmtId="43" formatCode="_(* #,##0.00_);_(* \(#,##0.00\);_(* &quot;-&quot;??_);_(@_)"/>
    <numFmt numFmtId="164" formatCode="_-* #,##0\ _₫_-;\-* #,##0\ _₫_-;_-* &quot;-&quot;\ _₫_-;_-@_-"/>
    <numFmt numFmtId="165" formatCode="_-* #,##0.00\ _₫_-;\-* #,##0.00\ _₫_-;_-* &quot;-&quot;??\ _₫_-;_-@_-"/>
    <numFmt numFmtId="166" formatCode="#,##0.0"/>
    <numFmt numFmtId="167" formatCode="_(* #,##0_);_(* \(#,##0\);_(* &quot;-&quot;??_);_(@_)"/>
    <numFmt numFmtId="168" formatCode="_(* #,##0.0_);_(* \(#,##0.0\);_(* &quot;-&quot;??_);_(@_)"/>
    <numFmt numFmtId="169" formatCode="#,###;[Red]\-#,###"/>
    <numFmt numFmtId="170" formatCode="#,###.00;[Red]\-#,###.00"/>
    <numFmt numFmtId="171" formatCode="_-* #,##0.0\ _₫_-;\-* #,##0.0\ _₫_-;_-* &quot;-&quot;?\ _₫_-;_-@_-"/>
    <numFmt numFmtId="172" formatCode="_-* #,##0.0\ _₫_-;\-* #,##0.0\ _₫_-;_-* &quot;-&quot;\ _₫_-;_-@_-"/>
    <numFmt numFmtId="173" formatCode="_(* #,##0.0_);_(* \(#,##0.0\);_(* &quot;-&quot;?_);_(@_)"/>
    <numFmt numFmtId="174" formatCode="_-* #,##0\ _₫_-;\-* #,##0\ _₫_-;_-* &quot;-&quot;??\ _₫_-;_-@_-"/>
    <numFmt numFmtId="175" formatCode="_-* #,##0.00\ _₫_-;\-* #,##0.00\ _₫_-;_-* &quot;-&quot;\ _₫_-;_-@_-"/>
    <numFmt numFmtId="176" formatCode="_-* #,##0.0000\ _₫_-;\-* #,##0.0000\ _₫_-;_-* &quot;-&quot;\ _₫_-;_-@_-"/>
    <numFmt numFmtId="177" formatCode="_(* #,##0.000000_);_(* \(#,##0.000000\);_(* &quot;-&quot;??_);_(@_)"/>
    <numFmt numFmtId="178" formatCode="_(* #,##0.00_);_(* \(#,##0.00\);_(* &quot;-&quot;_);_(@_)"/>
    <numFmt numFmtId="179" formatCode="_(* #,##0.0_);_(* \(#,##0.0\);_(* &quot;-&quot;_);_(@_)"/>
    <numFmt numFmtId="180" formatCode="#,##0.000"/>
    <numFmt numFmtId="181" formatCode="###\ ###\ ###\ ###"/>
    <numFmt numFmtId="182" formatCode="_ * #,##0_ ;_ * \-#,##0_ ;_ * &quot;-&quot;??_ ;_ @_ "/>
    <numFmt numFmtId="183" formatCode="_-* #,##0.0\ _₫_-;\-* #,##0.0\ _₫_-;_-* &quot;-&quot;??\ _₫_-;_-@_-"/>
    <numFmt numFmtId="184" formatCode="#,##0.0000"/>
    <numFmt numFmtId="185" formatCode="_-* #,##0.0000\ _₫_-;\-* #,##0.0000\ _₫_-;_-* &quot;-&quot;??\ _₫_-;_-@_-"/>
    <numFmt numFmtId="186" formatCode="_(* #,##0.00_);_(* \(#,##0.00\);_(* &quot;-&quot;?_);_(@_)"/>
    <numFmt numFmtId="187" formatCode="_(* #,##0.00000_);_(* \(#,##0.00000\);_(* &quot;-&quot;?_);_(@_)"/>
    <numFmt numFmtId="188" formatCode="_-* #,##0_-;\-* #,##0_-;_-* &quot;-&quot;??_-;_-@_-"/>
    <numFmt numFmtId="189" formatCode="#,##0.00000"/>
    <numFmt numFmtId="190" formatCode="_-* #,##0.000\ _₫_-;\-* #,##0.000\ _₫_-;_-* &quot;-&quot;??\ _₫_-;_-@_-"/>
    <numFmt numFmtId="191" formatCode="_(* #,##0.000_);_(* \(#,##0.000\);_(* &quot;-&quot;???_);_(@_)"/>
    <numFmt numFmtId="192" formatCode="0.000%"/>
  </numFmts>
  <fonts count="163" x14ac:knownFonts="1">
    <font>
      <sz val="11"/>
      <color theme="1"/>
      <name val="Times New Roman"/>
      <family val="2"/>
      <charset val="163"/>
    </font>
    <font>
      <sz val="12"/>
      <color theme="1"/>
      <name val="Times New Roman"/>
      <family val="2"/>
    </font>
    <font>
      <sz val="12"/>
      <color theme="1"/>
      <name val="Times New Roman"/>
      <family val="2"/>
    </font>
    <font>
      <sz val="12"/>
      <color theme="1"/>
      <name val="Times New Roman"/>
      <family val="2"/>
    </font>
    <font>
      <sz val="12"/>
      <color theme="1"/>
      <name val="Times New Roman"/>
      <family val="2"/>
    </font>
    <font>
      <sz val="11"/>
      <color theme="1"/>
      <name val="Times New Roman"/>
      <family val="1"/>
    </font>
    <font>
      <sz val="10"/>
      <color rgb="FF000000"/>
      <name val="Times New Roman"/>
      <family val="1"/>
    </font>
    <font>
      <b/>
      <sz val="12"/>
      <name val="Times New Roman"/>
      <family val="1"/>
    </font>
    <font>
      <i/>
      <sz val="12"/>
      <name val="Times New Roman"/>
      <family val="1"/>
    </font>
    <font>
      <b/>
      <sz val="12"/>
      <color rgb="FF000000"/>
      <name val="Times New Roman"/>
      <family val="1"/>
    </font>
    <font>
      <sz val="12"/>
      <color rgb="FF000000"/>
      <name val="Times New Roman"/>
      <family val="1"/>
    </font>
    <font>
      <i/>
      <sz val="12"/>
      <color rgb="FF000000"/>
      <name val="Times New Roman"/>
      <family val="1"/>
    </font>
    <font>
      <sz val="10"/>
      <color theme="1"/>
      <name val="Times New Roman"/>
      <family val="1"/>
    </font>
    <font>
      <sz val="12"/>
      <name val="Times New Roman"/>
      <family val="1"/>
    </font>
    <font>
      <b/>
      <i/>
      <sz val="12"/>
      <name val="Times New Roman"/>
      <family val="1"/>
    </font>
    <font>
      <sz val="10"/>
      <color theme="1"/>
      <name val="Calibri"/>
      <family val="2"/>
      <charset val="163"/>
      <scheme val="minor"/>
    </font>
    <font>
      <b/>
      <sz val="11"/>
      <color rgb="FFFF0000"/>
      <name val="Times New Roman"/>
      <family val="1"/>
    </font>
    <font>
      <sz val="11"/>
      <color rgb="FFFF0000"/>
      <name val="Times New Roman"/>
      <family val="1"/>
    </font>
    <font>
      <sz val="12"/>
      <name val=".VnTime"/>
      <family val="2"/>
    </font>
    <font>
      <sz val="12"/>
      <name val=".VnArial Narrow"/>
      <family val="2"/>
    </font>
    <font>
      <b/>
      <sz val="9"/>
      <color indexed="81"/>
      <name val="Tahoma"/>
      <family val="2"/>
    </font>
    <font>
      <sz val="9"/>
      <color indexed="81"/>
      <name val="Tahoma"/>
      <family val="2"/>
    </font>
    <font>
      <b/>
      <sz val="11"/>
      <color theme="1"/>
      <name val="Times New Roman"/>
      <family val="1"/>
    </font>
    <font>
      <sz val="12"/>
      <name val=".VnTime"/>
      <family val="2"/>
    </font>
    <font>
      <b/>
      <sz val="10"/>
      <name val="Times New Roman"/>
      <family val="1"/>
      <charset val="163"/>
    </font>
    <font>
      <b/>
      <sz val="11"/>
      <name val="Times New Roman"/>
      <family val="1"/>
      <charset val="163"/>
    </font>
    <font>
      <b/>
      <sz val="12"/>
      <name val="Arial"/>
      <family val="2"/>
    </font>
    <font>
      <sz val="11"/>
      <color rgb="FF000000"/>
      <name val="Times New Roman"/>
      <family val="1"/>
    </font>
    <font>
      <b/>
      <sz val="11"/>
      <color rgb="FF000000"/>
      <name val="Times New Roman"/>
      <family val="1"/>
    </font>
    <font>
      <i/>
      <sz val="11"/>
      <color rgb="FF000000"/>
      <name val="Times New Roman"/>
      <family val="1"/>
    </font>
    <font>
      <sz val="12"/>
      <color theme="1"/>
      <name val="Times New Roman"/>
      <family val="2"/>
    </font>
    <font>
      <sz val="11"/>
      <color theme="1"/>
      <name val="Calibri"/>
      <family val="2"/>
      <scheme val="minor"/>
    </font>
    <font>
      <b/>
      <sz val="10"/>
      <color rgb="FF000000"/>
      <name val="Times New Roman"/>
      <family val="1"/>
    </font>
    <font>
      <i/>
      <sz val="10"/>
      <color rgb="FF000000"/>
      <name val="Times New Roman"/>
      <family val="1"/>
    </font>
    <font>
      <b/>
      <sz val="10"/>
      <color rgb="FFFF0000"/>
      <name val="Times New Roman"/>
      <family val="1"/>
    </font>
    <font>
      <b/>
      <sz val="9"/>
      <color rgb="FF000000"/>
      <name val="Times New Roman"/>
      <family val="1"/>
    </font>
    <font>
      <sz val="9"/>
      <color theme="1"/>
      <name val="Times New Roman"/>
      <family val="1"/>
    </font>
    <font>
      <sz val="9"/>
      <color rgb="FF000000"/>
      <name val="Times New Roman"/>
      <family val="1"/>
    </font>
    <font>
      <b/>
      <sz val="10"/>
      <name val="Times New Roman"/>
      <family val="1"/>
    </font>
    <font>
      <sz val="10"/>
      <name val="Times New Roman"/>
      <family val="1"/>
    </font>
    <font>
      <i/>
      <sz val="10"/>
      <name val="Times New Roman"/>
      <family val="1"/>
    </font>
    <font>
      <sz val="10"/>
      <color theme="1"/>
      <name val="times new roman"/>
      <family val="2"/>
      <charset val="163"/>
    </font>
    <font>
      <sz val="9"/>
      <color theme="1"/>
      <name val="times new roman"/>
      <family val="2"/>
      <charset val="163"/>
    </font>
    <font>
      <b/>
      <sz val="10"/>
      <color theme="1"/>
      <name val="Times New Roman"/>
      <family val="1"/>
    </font>
    <font>
      <sz val="12"/>
      <color theme="1"/>
      <name val="Times New Roman"/>
      <family val="1"/>
    </font>
    <font>
      <b/>
      <sz val="12"/>
      <color rgb="FF000000"/>
      <name val="Times New Roman"/>
      <family val="1"/>
      <charset val="163"/>
    </font>
    <font>
      <b/>
      <sz val="13"/>
      <color theme="1"/>
      <name val="times new roman"/>
      <family val="1"/>
      <charset val="163"/>
    </font>
    <font>
      <b/>
      <sz val="11"/>
      <color theme="1"/>
      <name val="times new roman"/>
      <family val="1"/>
      <charset val="163"/>
    </font>
    <font>
      <b/>
      <sz val="11"/>
      <color rgb="FF000000"/>
      <name val="Times New Roman"/>
      <family val="1"/>
      <charset val="163"/>
    </font>
    <font>
      <sz val="11"/>
      <color theme="1"/>
      <name val="times new roman"/>
      <family val="2"/>
      <charset val="163"/>
    </font>
    <font>
      <b/>
      <sz val="12"/>
      <color theme="1"/>
      <name val="Times New Roman"/>
      <family val="1"/>
    </font>
    <font>
      <sz val="11"/>
      <color rgb="FF000000"/>
      <name val="Times New Roman"/>
      <family val="1"/>
      <charset val="163"/>
    </font>
    <font>
      <sz val="11"/>
      <color theme="1"/>
      <name val="Times New Roman"/>
      <family val="1"/>
      <charset val="163"/>
    </font>
    <font>
      <sz val="11"/>
      <name val="Times New Roman"/>
      <family val="1"/>
    </font>
    <font>
      <b/>
      <sz val="10"/>
      <color rgb="FF000000"/>
      <name val="Times New Roman"/>
      <family val="1"/>
      <charset val="163"/>
    </font>
    <font>
      <b/>
      <sz val="10"/>
      <color theme="1"/>
      <name val="Times New Roman"/>
      <family val="1"/>
      <charset val="163"/>
    </font>
    <font>
      <sz val="8"/>
      <name val="Times New Roman"/>
      <family val="1"/>
    </font>
    <font>
      <sz val="8"/>
      <color theme="1"/>
      <name val="Times New Roman"/>
      <family val="1"/>
    </font>
    <font>
      <sz val="10"/>
      <name val="Arial"/>
      <family val="2"/>
      <charset val="163"/>
    </font>
    <font>
      <b/>
      <sz val="8"/>
      <color rgb="FF000000"/>
      <name val="Times New Roman"/>
      <family val="1"/>
    </font>
    <font>
      <b/>
      <sz val="11"/>
      <name val="Times New Roman"/>
      <family val="1"/>
    </font>
    <font>
      <sz val="10"/>
      <color rgb="FF000000"/>
      <name val="Times New Roman"/>
      <family val="1"/>
      <charset val="163"/>
    </font>
    <font>
      <b/>
      <sz val="8"/>
      <name val="Times New Roman"/>
      <family val="1"/>
    </font>
    <font>
      <b/>
      <sz val="9"/>
      <name val="Times New Roman"/>
      <family val="1"/>
    </font>
    <font>
      <i/>
      <sz val="12"/>
      <color rgb="FF000000"/>
      <name val="Times New Roman"/>
      <family val="1"/>
      <charset val="163"/>
    </font>
    <font>
      <sz val="10"/>
      <color theme="1"/>
      <name val="Times New Roman"/>
      <family val="1"/>
      <charset val="163"/>
    </font>
    <font>
      <sz val="9"/>
      <color rgb="FF000000"/>
      <name val="Times New Roman"/>
      <family val="1"/>
      <charset val="163"/>
    </font>
    <font>
      <b/>
      <i/>
      <sz val="10"/>
      <color rgb="FF000000"/>
      <name val="Times New Roman"/>
      <family val="1"/>
      <charset val="163"/>
    </font>
    <font>
      <b/>
      <sz val="12"/>
      <color theme="1"/>
      <name val="Times New Roman"/>
      <family val="1"/>
      <charset val="163"/>
    </font>
    <font>
      <b/>
      <sz val="10"/>
      <color rgb="FFFF0000"/>
      <name val="Times New Roman"/>
      <family val="1"/>
      <charset val="163"/>
    </font>
    <font>
      <i/>
      <sz val="11"/>
      <color theme="1"/>
      <name val="Times New Roman"/>
      <family val="1"/>
      <charset val="163"/>
    </font>
    <font>
      <sz val="12"/>
      <color theme="1"/>
      <name val="Times New Roman"/>
      <family val="1"/>
      <charset val="163"/>
    </font>
    <font>
      <b/>
      <sz val="7"/>
      <color rgb="FF000000"/>
      <name val="Times New Roman"/>
      <family val="1"/>
    </font>
    <font>
      <sz val="10"/>
      <color indexed="8"/>
      <name val="Times New Roman"/>
      <family val="1"/>
    </font>
    <font>
      <i/>
      <sz val="11"/>
      <name val="Times New Roman"/>
      <family val="1"/>
    </font>
    <font>
      <b/>
      <sz val="9"/>
      <color theme="1"/>
      <name val="Times New Roman"/>
      <family val="1"/>
    </font>
    <font>
      <sz val="10"/>
      <name val="Arial"/>
      <family val="2"/>
    </font>
    <font>
      <sz val="10"/>
      <name val="Arial"/>
      <family val="2"/>
      <charset val="163"/>
    </font>
    <font>
      <sz val="11"/>
      <color indexed="8"/>
      <name val="Calibri"/>
      <family val="2"/>
    </font>
    <font>
      <sz val="11"/>
      <color indexed="9"/>
      <name val="Calibri"/>
      <family val="2"/>
    </font>
    <font>
      <b/>
      <sz val="11"/>
      <color indexed="9"/>
      <name val="Calibri"/>
      <family val="2"/>
    </font>
    <font>
      <sz val="11"/>
      <color indexed="52"/>
      <name val="Calibri"/>
      <family val="2"/>
    </font>
    <font>
      <b/>
      <sz val="11"/>
      <color indexed="52"/>
      <name val="Calibri"/>
      <family val="2"/>
    </font>
    <font>
      <b/>
      <sz val="11"/>
      <color indexed="8"/>
      <name val="Calibri"/>
      <family val="2"/>
    </font>
    <font>
      <sz val="11"/>
      <color indexed="17"/>
      <name val="Calibri"/>
      <family val="2"/>
    </font>
    <font>
      <sz val="11"/>
      <color indexed="60"/>
      <name val="Calibri"/>
      <family val="2"/>
    </font>
    <font>
      <i/>
      <sz val="11"/>
      <color indexed="23"/>
      <name val="Calibri"/>
      <family val="2"/>
    </font>
    <font>
      <sz val="11"/>
      <color indexed="20"/>
      <name val="Calibri"/>
      <family val="2"/>
    </font>
    <font>
      <sz val="14"/>
      <color indexed="8"/>
      <name val="Times New Roman"/>
      <family val="2"/>
      <charset val="163"/>
    </font>
    <font>
      <i/>
      <sz val="12"/>
      <color theme="1"/>
      <name val="Times New Roman"/>
      <family val="1"/>
    </font>
    <font>
      <b/>
      <i/>
      <sz val="11"/>
      <color rgb="FF000000"/>
      <name val="Times New Roman"/>
      <family val="1"/>
    </font>
    <font>
      <i/>
      <sz val="13"/>
      <color rgb="FF000000"/>
      <name val="Times New Roman"/>
      <family val="1"/>
      <charset val="163"/>
    </font>
    <font>
      <i/>
      <sz val="13"/>
      <name val="Times New Roman"/>
      <family val="1"/>
      <charset val="163"/>
    </font>
    <font>
      <sz val="8"/>
      <name val="times new roman"/>
      <family val="2"/>
      <charset val="163"/>
    </font>
    <font>
      <i/>
      <sz val="13"/>
      <name val="Times New Roman"/>
      <family val="1"/>
    </font>
    <font>
      <sz val="9"/>
      <name val="Times New Roman"/>
      <family val="1"/>
    </font>
    <font>
      <sz val="12"/>
      <name val="Times New Roman"/>
      <family val="1"/>
      <charset val="163"/>
    </font>
    <font>
      <b/>
      <i/>
      <sz val="9"/>
      <color rgb="FF000000"/>
      <name val="Times New Roman"/>
      <family val="1"/>
    </font>
    <font>
      <b/>
      <i/>
      <sz val="11"/>
      <color theme="1"/>
      <name val="Times New Roman"/>
      <family val="1"/>
    </font>
    <font>
      <sz val="13"/>
      <name val="Times New Roman"/>
      <family val="1"/>
    </font>
    <font>
      <i/>
      <sz val="11"/>
      <color theme="1"/>
      <name val="Times New Roman"/>
      <family val="1"/>
    </font>
    <font>
      <sz val="12"/>
      <color indexed="8"/>
      <name val="Calibri"/>
      <family val="2"/>
    </font>
    <font>
      <sz val="12"/>
      <name val="Arial"/>
      <family val="2"/>
    </font>
    <font>
      <sz val="11"/>
      <name val="Arial"/>
      <family val="2"/>
    </font>
    <font>
      <b/>
      <i/>
      <sz val="11"/>
      <name val="Times New Roman"/>
      <family val="1"/>
    </font>
    <font>
      <i/>
      <sz val="12"/>
      <color theme="0"/>
      <name val="Times New Roman"/>
      <family val="1"/>
      <charset val="163"/>
    </font>
    <font>
      <sz val="14"/>
      <color theme="1"/>
      <name val="Times New Roman"/>
      <family val="2"/>
      <charset val="163"/>
    </font>
    <font>
      <b/>
      <i/>
      <sz val="10"/>
      <color rgb="FF000000"/>
      <name val="Times New Roman"/>
      <family val="1"/>
    </font>
    <font>
      <i/>
      <sz val="12"/>
      <name val="Times New Roman"/>
      <family val="1"/>
      <charset val="163"/>
    </font>
    <font>
      <sz val="12"/>
      <color rgb="FFFF0000"/>
      <name val="Times New Roman"/>
      <family val="1"/>
    </font>
    <font>
      <sz val="10"/>
      <color rgb="FFFF0000"/>
      <name val="Times New Roman"/>
      <family val="1"/>
    </font>
    <font>
      <sz val="11"/>
      <color rgb="FFFF0000"/>
      <name val="times new roman"/>
      <family val="2"/>
      <charset val="163"/>
    </font>
    <font>
      <sz val="11"/>
      <name val="times new roman"/>
      <family val="2"/>
      <charset val="163"/>
    </font>
    <font>
      <sz val="12"/>
      <color theme="3" tint="-0.249977111117893"/>
      <name val="Times New Roman"/>
      <family val="1"/>
    </font>
    <font>
      <sz val="11"/>
      <color theme="3" tint="-0.249977111117893"/>
      <name val="Times New Roman"/>
      <family val="1"/>
    </font>
    <font>
      <b/>
      <sz val="10"/>
      <name val="times new roman"/>
      <family val="2"/>
      <charset val="163"/>
    </font>
    <font>
      <b/>
      <sz val="11"/>
      <name val="times new roman"/>
      <family val="2"/>
      <charset val="163"/>
    </font>
    <font>
      <b/>
      <sz val="9"/>
      <name val="times new roman"/>
      <family val="2"/>
      <charset val="163"/>
    </font>
    <font>
      <b/>
      <sz val="7"/>
      <name val="times new roman"/>
      <family val="2"/>
      <charset val="163"/>
    </font>
    <font>
      <sz val="10"/>
      <name val="times new roman"/>
      <family val="2"/>
      <charset val="163"/>
    </font>
    <font>
      <i/>
      <sz val="12"/>
      <name val="times new roman"/>
      <family val="2"/>
      <charset val="163"/>
    </font>
    <font>
      <b/>
      <i/>
      <sz val="10"/>
      <name val="Times New Roman"/>
      <family val="1"/>
    </font>
    <font>
      <i/>
      <sz val="9"/>
      <color rgb="FF000000"/>
      <name val="Times New Roman"/>
      <family val="1"/>
    </font>
    <font>
      <i/>
      <sz val="10"/>
      <color theme="1"/>
      <name val="Times New Roman"/>
      <family val="1"/>
    </font>
    <font>
      <i/>
      <sz val="10"/>
      <color rgb="FFFF0000"/>
      <name val="Times New Roman"/>
      <family val="1"/>
    </font>
    <font>
      <b/>
      <sz val="12"/>
      <color theme="1"/>
      <name val="Calibri"/>
      <family val="2"/>
      <charset val="163"/>
      <scheme val="minor"/>
    </font>
    <font>
      <sz val="10"/>
      <name val="Arial Narrow"/>
      <family val="2"/>
    </font>
    <font>
      <b/>
      <sz val="13"/>
      <name val="Times New Roman"/>
      <family val="1"/>
    </font>
    <font>
      <sz val="9"/>
      <name val="times new roman"/>
      <family val="2"/>
      <charset val="163"/>
    </font>
    <font>
      <b/>
      <sz val="7"/>
      <name val="Times New Roman"/>
      <family val="1"/>
    </font>
    <font>
      <sz val="9"/>
      <name val="Calibri"/>
      <family val="2"/>
      <charset val="163"/>
      <scheme val="minor"/>
    </font>
    <font>
      <b/>
      <sz val="11"/>
      <color rgb="FF000000"/>
      <name val="times new roman"/>
      <family val="2"/>
      <charset val="163"/>
    </font>
    <font>
      <sz val="11"/>
      <color rgb="FF000000"/>
      <name val="times new roman"/>
      <family val="2"/>
      <charset val="163"/>
    </font>
    <font>
      <b/>
      <sz val="14"/>
      <name val="Times New Roman"/>
      <family val="1"/>
    </font>
    <font>
      <i/>
      <sz val="14"/>
      <name val="Times New Roman"/>
      <family val="1"/>
    </font>
    <font>
      <sz val="7"/>
      <name val="Times New Roman"/>
      <family val="1"/>
    </font>
    <font>
      <sz val="7"/>
      <name val="Times New Roman"/>
      <family val="1"/>
      <charset val="163"/>
    </font>
    <font>
      <i/>
      <sz val="9"/>
      <name val="Times New Roman"/>
      <family val="1"/>
    </font>
    <font>
      <b/>
      <i/>
      <sz val="9"/>
      <name val="Times New Roman"/>
      <family val="1"/>
    </font>
    <font>
      <sz val="14"/>
      <name val="Times New Roman"/>
      <family val="1"/>
    </font>
    <font>
      <sz val="16"/>
      <name val="Times New Roman"/>
      <family val="1"/>
    </font>
    <font>
      <b/>
      <sz val="16"/>
      <name val="Times New Roman"/>
      <family val="1"/>
    </font>
    <font>
      <b/>
      <i/>
      <sz val="8"/>
      <name val="Times New Roman"/>
      <family val="1"/>
    </font>
    <font>
      <b/>
      <sz val="8"/>
      <color theme="1"/>
      <name val="Times New Roman"/>
      <family val="1"/>
    </font>
    <font>
      <b/>
      <i/>
      <sz val="10"/>
      <color theme="1"/>
      <name val="Times New Roman"/>
      <family val="1"/>
    </font>
    <font>
      <i/>
      <sz val="16"/>
      <name val="Times New Roman"/>
      <family val="1"/>
    </font>
    <font>
      <b/>
      <sz val="14"/>
      <color rgb="FFFF0000"/>
      <name val="Times New Roman"/>
      <family val="1"/>
    </font>
    <font>
      <sz val="14"/>
      <color rgb="FFFF0000"/>
      <name val="Times New Roman"/>
      <family val="1"/>
    </font>
    <font>
      <b/>
      <sz val="16"/>
      <color rgb="FFFF0000"/>
      <name val="Times New Roman"/>
      <family val="1"/>
    </font>
    <font>
      <b/>
      <sz val="10.5"/>
      <name val="Times New Roman"/>
      <family val="1"/>
      <charset val="163"/>
    </font>
    <font>
      <b/>
      <sz val="20"/>
      <name val="Times New Roman"/>
      <family val="1"/>
    </font>
    <font>
      <sz val="10.5"/>
      <name val="Times New Roman"/>
      <family val="1"/>
      <charset val="163"/>
    </font>
    <font>
      <sz val="10"/>
      <name val="Times New Roman"/>
      <family val="1"/>
      <charset val="163"/>
    </font>
    <font>
      <i/>
      <sz val="10"/>
      <name val="Times New Roman"/>
      <family val="1"/>
      <charset val="163"/>
    </font>
    <font>
      <b/>
      <sz val="11.5"/>
      <color theme="1"/>
      <name val="Times New Roman"/>
      <family val="1"/>
    </font>
    <font>
      <b/>
      <sz val="11.5"/>
      <name val="Times New Roman"/>
      <family val="1"/>
    </font>
    <font>
      <b/>
      <sz val="10.5"/>
      <color theme="1"/>
      <name val="Times New Roman"/>
      <family val="1"/>
      <charset val="163"/>
    </font>
    <font>
      <b/>
      <u/>
      <sz val="12"/>
      <name val="Times New Roman"/>
      <family val="1"/>
    </font>
    <font>
      <u/>
      <sz val="12"/>
      <name val="Times New Roman"/>
      <family val="1"/>
    </font>
    <font>
      <sz val="10.5"/>
      <name val="Arial"/>
      <family val="2"/>
      <charset val="163"/>
    </font>
    <font>
      <sz val="8"/>
      <name val="Times New Roman"/>
      <family val="1"/>
      <charset val="163"/>
    </font>
    <font>
      <i/>
      <sz val="9"/>
      <color theme="1"/>
      <name val="Times New Roman"/>
      <family val="1"/>
    </font>
    <font>
      <sz val="8"/>
      <color rgb="FF000000"/>
      <name val="Times New Roman"/>
      <family val="1"/>
    </font>
  </fonts>
  <fills count="2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indexed="9"/>
        <bgColor indexed="0"/>
      </patternFill>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hair">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rgb="FF000000"/>
      </bottom>
      <diagonal/>
    </border>
    <border>
      <left style="thin">
        <color auto="1"/>
      </left>
      <right/>
      <top style="thin">
        <color auto="1"/>
      </top>
      <bottom/>
      <diagonal/>
    </border>
    <border>
      <left style="thin">
        <color auto="1"/>
      </left>
      <right/>
      <top/>
      <bottom style="thin">
        <color indexed="64"/>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s>
  <cellStyleXfs count="85">
    <xf numFmtId="0" fontId="0" fillId="0" borderId="0"/>
    <xf numFmtId="0" fontId="18" fillId="0" borderId="0"/>
    <xf numFmtId="0" fontId="19" fillId="0" borderId="0"/>
    <xf numFmtId="0" fontId="23" fillId="0" borderId="0"/>
    <xf numFmtId="0" fontId="26" fillId="0" borderId="16" applyNumberFormat="0" applyAlignment="0" applyProtection="0">
      <alignment horizontal="left" vertical="center"/>
    </xf>
    <xf numFmtId="0" fontId="26" fillId="0" borderId="13">
      <alignment horizontal="left" vertical="center"/>
    </xf>
    <xf numFmtId="0" fontId="30" fillId="0" borderId="0"/>
    <xf numFmtId="0" fontId="19" fillId="0" borderId="0"/>
    <xf numFmtId="0" fontId="31" fillId="0" borderId="0"/>
    <xf numFmtId="164" fontId="49" fillId="0" borderId="0" applyFont="0" applyFill="0" applyBorder="0" applyAlignment="0" applyProtection="0"/>
    <xf numFmtId="165" fontId="49" fillId="0" borderId="0" applyFont="0" applyFill="0" applyBorder="0" applyAlignment="0" applyProtection="0"/>
    <xf numFmtId="0" fontId="58" fillId="0" borderId="0"/>
    <xf numFmtId="0" fontId="19" fillId="0" borderId="0"/>
    <xf numFmtId="0" fontId="77" fillId="0" borderId="0"/>
    <xf numFmtId="0" fontId="78" fillId="3" borderId="0" applyNumberFormat="0" applyBorder="0" applyAlignment="0" applyProtection="0"/>
    <xf numFmtId="0" fontId="78" fillId="4" borderId="0" applyNumberFormat="0" applyBorder="0" applyAlignment="0" applyProtection="0"/>
    <xf numFmtId="0" fontId="78" fillId="5" borderId="0" applyNumberFormat="0" applyBorder="0" applyAlignment="0" applyProtection="0"/>
    <xf numFmtId="0" fontId="78" fillId="6" borderId="0" applyNumberFormat="0" applyBorder="0" applyAlignment="0" applyProtection="0"/>
    <xf numFmtId="0" fontId="78" fillId="7" borderId="0" applyNumberFormat="0" applyBorder="0" applyAlignment="0" applyProtection="0"/>
    <xf numFmtId="0" fontId="78"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8" fillId="11" borderId="0" applyNumberFormat="0" applyBorder="0" applyAlignment="0" applyProtection="0"/>
    <xf numFmtId="0" fontId="78" fillId="6" borderId="0" applyNumberFormat="0" applyBorder="0" applyAlignment="0" applyProtection="0"/>
    <xf numFmtId="0" fontId="78" fillId="9" borderId="0" applyNumberFormat="0" applyBorder="0" applyAlignment="0" applyProtection="0"/>
    <xf numFmtId="0" fontId="78" fillId="12" borderId="0" applyNumberFormat="0" applyBorder="0" applyAlignment="0" applyProtection="0"/>
    <xf numFmtId="0" fontId="79" fillId="13" borderId="0" applyNumberFormat="0" applyBorder="0" applyAlignment="0" applyProtection="0"/>
    <xf numFmtId="0" fontId="79" fillId="10" borderId="0" applyNumberFormat="0" applyBorder="0" applyAlignment="0" applyProtection="0"/>
    <xf numFmtId="0" fontId="79" fillId="11"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16" borderId="0" applyNumberFormat="0" applyBorder="0" applyAlignment="0" applyProtection="0"/>
    <xf numFmtId="0" fontId="79" fillId="17" borderId="0" applyNumberFormat="0" applyBorder="0" applyAlignment="0" applyProtection="0"/>
    <xf numFmtId="0" fontId="79" fillId="18" borderId="0" applyNumberFormat="0" applyBorder="0" applyAlignment="0" applyProtection="0"/>
    <xf numFmtId="0" fontId="79" fillId="19" borderId="0" applyNumberFormat="0" applyBorder="0" applyAlignment="0" applyProtection="0"/>
    <xf numFmtId="0" fontId="79" fillId="14" borderId="0" applyNumberFormat="0" applyBorder="0" applyAlignment="0" applyProtection="0"/>
    <xf numFmtId="0" fontId="79" fillId="15" borderId="0" applyNumberFormat="0" applyBorder="0" applyAlignment="0" applyProtection="0"/>
    <xf numFmtId="0" fontId="79" fillId="20" borderId="0" applyNumberFormat="0" applyBorder="0" applyAlignment="0" applyProtection="0"/>
    <xf numFmtId="0" fontId="87" fillId="4" borderId="0" applyNumberFormat="0" applyBorder="0" applyAlignment="0" applyProtection="0"/>
    <xf numFmtId="0" fontId="58" fillId="0" borderId="0"/>
    <xf numFmtId="0" fontId="77" fillId="0" borderId="0"/>
    <xf numFmtId="0" fontId="82" fillId="21" borderId="18" applyNumberFormat="0" applyAlignment="0" applyProtection="0"/>
    <xf numFmtId="0" fontId="80" fillId="22" borderId="19" applyNumberFormat="0" applyAlignment="0" applyProtection="0"/>
    <xf numFmtId="43" fontId="76" fillId="0" borderId="0" applyFont="0" applyFill="0" applyBorder="0" applyAlignment="0" applyProtection="0"/>
    <xf numFmtId="43" fontId="76" fillId="0" borderId="0" applyFont="0" applyFill="0" applyBorder="0" applyAlignment="0" applyProtection="0"/>
    <xf numFmtId="43" fontId="76" fillId="0" borderId="0" applyFont="0" applyFill="0" applyBorder="0" applyAlignment="0" applyProtection="0"/>
    <xf numFmtId="170" fontId="76" fillId="0" borderId="0" applyFont="0" applyFill="0" applyBorder="0" applyAlignment="0" applyProtection="0"/>
    <xf numFmtId="41" fontId="58" fillId="0" borderId="0" applyFont="0" applyFill="0" applyBorder="0" applyAlignment="0" applyProtection="0"/>
    <xf numFmtId="41" fontId="58" fillId="0" borderId="0" applyFont="0" applyFill="0" applyBorder="0" applyAlignment="0" applyProtection="0"/>
    <xf numFmtId="0" fontId="86" fillId="0" borderId="0" applyNumberFormat="0" applyFill="0" applyBorder="0" applyAlignment="0" applyProtection="0"/>
    <xf numFmtId="0" fontId="84" fillId="5" borderId="0" applyNumberFormat="0" applyBorder="0" applyAlignment="0" applyProtection="0"/>
    <xf numFmtId="0" fontId="81" fillId="0" borderId="20" applyNumberFormat="0" applyFill="0" applyAlignment="0" applyProtection="0"/>
    <xf numFmtId="0" fontId="85" fillId="23" borderId="0" applyNumberFormat="0" applyBorder="0" applyAlignment="0" applyProtection="0"/>
    <xf numFmtId="0" fontId="76" fillId="0" borderId="0"/>
    <xf numFmtId="0" fontId="18" fillId="0" borderId="0"/>
    <xf numFmtId="0" fontId="76" fillId="0" borderId="0"/>
    <xf numFmtId="0" fontId="88" fillId="0" borderId="0"/>
    <xf numFmtId="9" fontId="19" fillId="0" borderId="0" applyFont="0" applyFill="0" applyBorder="0" applyAlignment="0" applyProtection="0"/>
    <xf numFmtId="0" fontId="83" fillId="0" borderId="21" applyNumberFormat="0" applyFill="0" applyAlignment="0" applyProtection="0"/>
    <xf numFmtId="0" fontId="58" fillId="0" borderId="0"/>
    <xf numFmtId="0" fontId="77" fillId="0" borderId="0"/>
    <xf numFmtId="0" fontId="77" fillId="0" borderId="0"/>
    <xf numFmtId="0" fontId="77" fillId="0" borderId="0"/>
    <xf numFmtId="0" fontId="77" fillId="0" borderId="0"/>
    <xf numFmtId="9" fontId="49" fillId="0" borderId="0" applyFont="0" applyFill="0" applyBorder="0" applyAlignment="0" applyProtection="0"/>
    <xf numFmtId="41" fontId="4" fillId="0" borderId="0" applyFont="0" applyFill="0" applyBorder="0" applyAlignment="0" applyProtection="0"/>
    <xf numFmtId="0" fontId="78" fillId="0" borderId="0"/>
    <xf numFmtId="165" fontId="7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77" fontId="76" fillId="0" borderId="0" applyFont="0" applyFill="0" applyBorder="0" applyAlignment="0" applyProtection="0"/>
    <xf numFmtId="177" fontId="76" fillId="0" borderId="0" applyFont="0" applyFill="0" applyBorder="0" applyAlignment="0" applyProtection="0"/>
    <xf numFmtId="0" fontId="106" fillId="0" borderId="0"/>
    <xf numFmtId="43" fontId="58" fillId="0" borderId="0" applyFont="0" applyFill="0" applyBorder="0" applyAlignment="0" applyProtection="0"/>
    <xf numFmtId="170" fontId="76" fillId="0" borderId="0" applyFont="0" applyFill="0" applyBorder="0" applyAlignment="0" applyProtection="0"/>
    <xf numFmtId="0" fontId="49" fillId="0" borderId="0"/>
    <xf numFmtId="43" fontId="78" fillId="0" borderId="0" applyFont="0" applyFill="0" applyBorder="0" applyAlignment="0" applyProtection="0"/>
    <xf numFmtId="0" fontId="2" fillId="0" borderId="0"/>
    <xf numFmtId="43" fontId="1" fillId="0" borderId="0" applyFont="0" applyFill="0" applyBorder="0" applyAlignment="0" applyProtection="0"/>
    <xf numFmtId="0" fontId="31" fillId="0" borderId="0"/>
    <xf numFmtId="0" fontId="78" fillId="0" borderId="0"/>
    <xf numFmtId="0" fontId="18" fillId="0" borderId="0"/>
    <xf numFmtId="0" fontId="19" fillId="0" borderId="0"/>
  </cellStyleXfs>
  <cellXfs count="2074">
    <xf numFmtId="0" fontId="0" fillId="0" borderId="0" xfId="0"/>
    <xf numFmtId="0" fontId="5" fillId="0" borderId="0" xfId="0" applyFont="1"/>
    <xf numFmtId="0" fontId="7" fillId="0" borderId="0" xfId="0" applyFont="1" applyAlignment="1">
      <alignment horizontal="right" vertical="center"/>
    </xf>
    <xf numFmtId="0" fontId="0" fillId="0" borderId="0" xfId="0" applyAlignment="1"/>
    <xf numFmtId="0" fontId="10" fillId="0" borderId="0" xfId="0" applyFont="1" applyAlignment="1">
      <alignment vertical="center"/>
    </xf>
    <xf numFmtId="0" fontId="9" fillId="0" borderId="0" xfId="0" applyFont="1" applyAlignment="1">
      <alignment vertical="center"/>
    </xf>
    <xf numFmtId="0" fontId="11" fillId="0" borderId="0" xfId="0" applyFont="1" applyAlignment="1">
      <alignment horizontal="right" vertical="center"/>
    </xf>
    <xf numFmtId="0" fontId="9" fillId="0" borderId="0" xfId="0" applyFont="1" applyAlignment="1">
      <alignment horizontal="right" vertical="center"/>
    </xf>
    <xf numFmtId="0" fontId="6" fillId="0" borderId="1" xfId="0" applyFont="1" applyBorder="1" applyAlignment="1">
      <alignment horizontal="center" vertical="center" wrapText="1"/>
    </xf>
    <xf numFmtId="0" fontId="12" fillId="0" borderId="0" xfId="0" applyFont="1"/>
    <xf numFmtId="0" fontId="7" fillId="0" borderId="1" xfId="0" applyFont="1" applyBorder="1" applyAlignment="1">
      <alignment horizontal="center" vertical="center" wrapText="1"/>
    </xf>
    <xf numFmtId="0" fontId="9" fillId="0" borderId="0" xfId="0" applyFont="1" applyAlignment="1">
      <alignment horizontal="center" vertical="center"/>
    </xf>
    <xf numFmtId="0" fontId="13" fillId="0" borderId="0" xfId="0" applyFont="1" applyAlignment="1">
      <alignment vertical="center"/>
    </xf>
    <xf numFmtId="0" fontId="9" fillId="0" borderId="1" xfId="0" applyFont="1" applyBorder="1" applyAlignment="1">
      <alignment horizontal="center" vertical="center" wrapText="1"/>
    </xf>
    <xf numFmtId="0" fontId="15" fillId="0" borderId="0" xfId="0" applyFont="1"/>
    <xf numFmtId="0" fontId="16" fillId="0" borderId="0" xfId="0" applyFont="1"/>
    <xf numFmtId="0" fontId="17" fillId="0" borderId="0" xfId="0" applyFont="1"/>
    <xf numFmtId="3" fontId="13" fillId="0" borderId="0" xfId="1" applyNumberFormat="1" applyFont="1" applyAlignment="1">
      <alignment horizontal="center"/>
    </xf>
    <xf numFmtId="3" fontId="13" fillId="0" borderId="0" xfId="1" applyNumberFormat="1" applyFont="1"/>
    <xf numFmtId="166" fontId="13" fillId="0" borderId="0" xfId="1" applyNumberFormat="1" applyFont="1"/>
    <xf numFmtId="0" fontId="22" fillId="0" borderId="0" xfId="0" applyFont="1"/>
    <xf numFmtId="0" fontId="27" fillId="0" borderId="1" xfId="0" applyFont="1" applyBorder="1" applyAlignment="1">
      <alignment horizontal="center" vertical="center" wrapText="1"/>
    </xf>
    <xf numFmtId="0" fontId="28" fillId="0" borderId="6" xfId="0" applyFont="1" applyBorder="1" applyAlignment="1">
      <alignment vertical="center" wrapText="1"/>
    </xf>
    <xf numFmtId="0" fontId="27"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7" xfId="0" applyFont="1" applyBorder="1" applyAlignment="1">
      <alignment vertical="center" wrapText="1"/>
    </xf>
    <xf numFmtId="0" fontId="27" fillId="0" borderId="7" xfId="0" applyFont="1" applyBorder="1" applyAlignment="1">
      <alignment horizontal="center" vertical="center" wrapText="1"/>
    </xf>
    <xf numFmtId="0" fontId="27" fillId="0" borderId="7" xfId="0" applyFont="1" applyBorder="1" applyAlignment="1">
      <alignment vertical="center" wrapText="1"/>
    </xf>
    <xf numFmtId="0" fontId="27" fillId="0" borderId="8" xfId="0" applyFont="1" applyBorder="1" applyAlignment="1">
      <alignment horizontal="center" vertical="center" wrapText="1"/>
    </xf>
    <xf numFmtId="0" fontId="9"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6" fillId="0" borderId="7" xfId="0" applyFont="1" applyBorder="1" applyAlignment="1">
      <alignment horizontal="center" vertical="center" wrapText="1"/>
    </xf>
    <xf numFmtId="0" fontId="33" fillId="0" borderId="7" xfId="0" applyFont="1" applyBorder="1" applyAlignment="1">
      <alignment vertical="center" wrapText="1"/>
    </xf>
    <xf numFmtId="0" fontId="36" fillId="0" borderId="0" xfId="0" applyFont="1"/>
    <xf numFmtId="0" fontId="27" fillId="0" borderId="8" xfId="0" applyFont="1" applyBorder="1" applyAlignment="1">
      <alignment vertical="center" wrapText="1"/>
    </xf>
    <xf numFmtId="0" fontId="41" fillId="0" borderId="0" xfId="0" applyFont="1"/>
    <xf numFmtId="0" fontId="33" fillId="0" borderId="7" xfId="0" applyFont="1" applyBorder="1" applyAlignment="1">
      <alignment horizontal="center" vertical="center" wrapText="1"/>
    </xf>
    <xf numFmtId="0" fontId="29" fillId="0" borderId="7" xfId="0" applyFont="1" applyBorder="1" applyAlignment="1">
      <alignment vertical="center" wrapText="1"/>
    </xf>
    <xf numFmtId="0" fontId="44" fillId="0" borderId="0" xfId="0" applyFont="1"/>
    <xf numFmtId="0" fontId="50" fillId="0" borderId="0" xfId="0" applyFont="1"/>
    <xf numFmtId="0" fontId="47" fillId="0" borderId="0" xfId="0" applyFont="1"/>
    <xf numFmtId="0" fontId="51" fillId="0" borderId="7" xfId="0" applyFont="1" applyBorder="1" applyAlignment="1">
      <alignment horizontal="center" vertical="center" wrapText="1"/>
    </xf>
    <xf numFmtId="0" fontId="51" fillId="0" borderId="7" xfId="0" applyFont="1" applyBorder="1" applyAlignment="1">
      <alignment vertical="center" wrapText="1"/>
    </xf>
    <xf numFmtId="0" fontId="52" fillId="0" borderId="0" xfId="0" applyFont="1"/>
    <xf numFmtId="0" fontId="54" fillId="0" borderId="7" xfId="0" applyFont="1" applyBorder="1" applyAlignment="1">
      <alignment horizontal="center" vertical="center" wrapText="1"/>
    </xf>
    <xf numFmtId="0" fontId="54" fillId="0" borderId="7" xfId="0" applyFont="1" applyBorder="1" applyAlignment="1">
      <alignment vertical="center" wrapText="1"/>
    </xf>
    <xf numFmtId="0" fontId="55" fillId="0" borderId="0" xfId="0" applyFont="1"/>
    <xf numFmtId="0" fontId="48" fillId="0" borderId="1" xfId="0" applyFont="1" applyBorder="1" applyAlignment="1">
      <alignment vertical="center" wrapText="1"/>
    </xf>
    <xf numFmtId="0" fontId="51" fillId="0" borderId="8" xfId="0" applyFont="1" applyBorder="1" applyAlignment="1">
      <alignment vertical="center" wrapText="1"/>
    </xf>
    <xf numFmtId="0" fontId="48" fillId="0" borderId="1" xfId="0" applyFont="1" applyBorder="1" applyAlignment="1">
      <alignment horizontal="center" vertical="center" wrapText="1"/>
    </xf>
    <xf numFmtId="0" fontId="27" fillId="0" borderId="9" xfId="0" applyFont="1" applyBorder="1" applyAlignment="1">
      <alignment horizontal="center" vertical="center" wrapText="1"/>
    </xf>
    <xf numFmtId="3" fontId="5" fillId="0" borderId="0" xfId="0" applyNumberFormat="1" applyFont="1"/>
    <xf numFmtId="166" fontId="0" fillId="0" borderId="0" xfId="0" applyNumberFormat="1"/>
    <xf numFmtId="0" fontId="54" fillId="0" borderId="1" xfId="0" applyFont="1" applyBorder="1" applyAlignment="1">
      <alignment vertical="center" wrapText="1"/>
    </xf>
    <xf numFmtId="166" fontId="6" fillId="0" borderId="7" xfId="0" applyNumberFormat="1" applyFont="1" applyBorder="1" applyAlignment="1">
      <alignment horizontal="right" vertical="center" wrapText="1"/>
    </xf>
    <xf numFmtId="0" fontId="27" fillId="0" borderId="17" xfId="0" applyFont="1" applyBorder="1" applyAlignment="1">
      <alignment horizontal="center" vertical="center" wrapText="1"/>
    </xf>
    <xf numFmtId="166" fontId="27" fillId="0" borderId="9" xfId="0" applyNumberFormat="1" applyFont="1" applyBorder="1" applyAlignment="1">
      <alignment horizontal="right" vertical="center" wrapText="1"/>
    </xf>
    <xf numFmtId="166" fontId="27" fillId="0" borderId="7" xfId="0" applyNumberFormat="1" applyFont="1" applyBorder="1" applyAlignment="1">
      <alignment horizontal="right" vertical="center" wrapText="1"/>
    </xf>
    <xf numFmtId="166" fontId="27" fillId="0" borderId="8" xfId="0" applyNumberFormat="1" applyFont="1" applyBorder="1" applyAlignment="1">
      <alignment horizontal="right" vertical="center" wrapText="1"/>
    </xf>
    <xf numFmtId="166" fontId="48" fillId="0" borderId="1" xfId="0" applyNumberFormat="1" applyFont="1" applyBorder="1" applyAlignment="1">
      <alignment horizontal="right" vertical="center" wrapText="1"/>
    </xf>
    <xf numFmtId="0" fontId="54" fillId="0" borderId="1" xfId="0" applyFont="1" applyBorder="1" applyAlignment="1">
      <alignment horizontal="center" vertical="center" wrapText="1"/>
    </xf>
    <xf numFmtId="0" fontId="64" fillId="0" borderId="0" xfId="0" applyFont="1" applyAlignment="1">
      <alignment horizontal="right" vertical="center"/>
    </xf>
    <xf numFmtId="0" fontId="48" fillId="0" borderId="7" xfId="0" applyFont="1" applyBorder="1" applyAlignment="1">
      <alignment horizontal="center" vertical="center" wrapText="1"/>
    </xf>
    <xf numFmtId="0" fontId="48" fillId="0" borderId="7" xfId="0" applyFont="1" applyBorder="1" applyAlignment="1">
      <alignment vertical="center" wrapText="1"/>
    </xf>
    <xf numFmtId="166" fontId="48" fillId="0" borderId="7" xfId="0" applyNumberFormat="1" applyFont="1" applyBorder="1" applyAlignment="1">
      <alignment horizontal="right" vertical="center" wrapText="1"/>
    </xf>
    <xf numFmtId="166" fontId="5" fillId="0" borderId="0" xfId="0" applyNumberFormat="1" applyFont="1"/>
    <xf numFmtId="166" fontId="54" fillId="0" borderId="7" xfId="0" applyNumberFormat="1" applyFont="1" applyBorder="1" applyAlignment="1">
      <alignment horizontal="right" vertical="center" wrapText="1"/>
    </xf>
    <xf numFmtId="166" fontId="51" fillId="0" borderId="7" xfId="0" applyNumberFormat="1" applyFont="1" applyBorder="1" applyAlignment="1">
      <alignment horizontal="right" vertical="center" wrapText="1"/>
    </xf>
    <xf numFmtId="166" fontId="27" fillId="0" borderId="17" xfId="0" applyNumberFormat="1" applyFont="1" applyBorder="1" applyAlignment="1">
      <alignment horizontal="right" vertical="center" wrapText="1"/>
    </xf>
    <xf numFmtId="0" fontId="65" fillId="0" borderId="0" xfId="0" applyFont="1"/>
    <xf numFmtId="0" fontId="6"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8" xfId="0" applyFont="1" applyBorder="1" applyAlignment="1">
      <alignment vertical="center" wrapText="1"/>
    </xf>
    <xf numFmtId="0" fontId="54" fillId="0" borderId="6" xfId="0" applyFont="1" applyBorder="1" applyAlignment="1">
      <alignment horizontal="center" vertical="center" wrapText="1"/>
    </xf>
    <xf numFmtId="0" fontId="54" fillId="0" borderId="6" xfId="0" applyFont="1" applyBorder="1" applyAlignment="1">
      <alignment vertical="center" wrapText="1"/>
    </xf>
    <xf numFmtId="0" fontId="67" fillId="0" borderId="7" xfId="0" applyFont="1" applyBorder="1" applyAlignment="1">
      <alignment vertical="center" wrapText="1"/>
    </xf>
    <xf numFmtId="166" fontId="61" fillId="0" borderId="7" xfId="0" applyNumberFormat="1" applyFont="1" applyBorder="1" applyAlignment="1">
      <alignment horizontal="right" vertical="center" wrapText="1"/>
    </xf>
    <xf numFmtId="0" fontId="48" fillId="0" borderId="6" xfId="0" applyFont="1" applyBorder="1" applyAlignment="1">
      <alignment horizontal="center" vertical="center" wrapText="1"/>
    </xf>
    <xf numFmtId="0" fontId="48" fillId="0" borderId="6" xfId="0" applyFont="1" applyBorder="1" applyAlignment="1">
      <alignment vertical="center" wrapText="1"/>
    </xf>
    <xf numFmtId="2" fontId="54" fillId="0" borderId="7" xfId="0" applyNumberFormat="1" applyFont="1" applyBorder="1" applyAlignment="1">
      <alignment horizontal="right" vertical="center" wrapText="1"/>
    </xf>
    <xf numFmtId="0" fontId="67" fillId="0" borderId="7" xfId="0" applyFont="1" applyBorder="1" applyAlignment="1">
      <alignment horizontal="center" vertical="center" wrapText="1"/>
    </xf>
    <xf numFmtId="166" fontId="48" fillId="0" borderId="6" xfId="0" applyNumberFormat="1" applyFont="1" applyBorder="1" applyAlignment="1">
      <alignment horizontal="right" vertical="center" wrapText="1"/>
    </xf>
    <xf numFmtId="0" fontId="9" fillId="0" borderId="1" xfId="0" applyFont="1" applyBorder="1" applyAlignment="1">
      <alignment horizontal="center" vertical="center" wrapText="1"/>
    </xf>
    <xf numFmtId="166" fontId="55" fillId="0" borderId="0" xfId="0" applyNumberFormat="1" applyFont="1"/>
    <xf numFmtId="166" fontId="12" fillId="0" borderId="0" xfId="0" applyNumberFormat="1" applyFont="1"/>
    <xf numFmtId="0" fontId="70" fillId="0" borderId="0" xfId="0" applyFont="1"/>
    <xf numFmtId="0" fontId="71" fillId="0" borderId="0" xfId="0" applyFont="1"/>
    <xf numFmtId="166" fontId="22" fillId="0" borderId="0" xfId="0" applyNumberFormat="1" applyFont="1"/>
    <xf numFmtId="0" fontId="57" fillId="0" borderId="0" xfId="0" applyFont="1"/>
    <xf numFmtId="0" fontId="27" fillId="0" borderId="17" xfId="0" applyFont="1" applyBorder="1" applyAlignment="1">
      <alignment vertical="center" wrapText="1"/>
    </xf>
    <xf numFmtId="0" fontId="22" fillId="0" borderId="0" xfId="0" applyFont="1" applyAlignment="1">
      <alignment vertical="center"/>
    </xf>
    <xf numFmtId="0" fontId="53" fillId="0" borderId="0" xfId="0" applyFont="1"/>
    <xf numFmtId="0" fontId="32" fillId="0" borderId="1" xfId="0" applyFont="1" applyBorder="1" applyAlignment="1">
      <alignment horizontal="center" vertical="center" wrapText="1"/>
    </xf>
    <xf numFmtId="0" fontId="61" fillId="0" borderId="1" xfId="0" applyFont="1" applyBorder="1" applyAlignment="1">
      <alignment horizontal="center" vertical="center" wrapText="1"/>
    </xf>
    <xf numFmtId="3" fontId="53" fillId="0" borderId="0" xfId="1" applyNumberFormat="1" applyFont="1"/>
    <xf numFmtId="3" fontId="60" fillId="0" borderId="0" xfId="1" applyNumberFormat="1" applyFont="1"/>
    <xf numFmtId="3" fontId="53" fillId="0" borderId="0" xfId="1" applyNumberFormat="1" applyFont="1" applyAlignment="1">
      <alignment horizontal="center"/>
    </xf>
    <xf numFmtId="3" fontId="60" fillId="0" borderId="0" xfId="1" applyNumberFormat="1" applyFont="1" applyAlignment="1">
      <alignment horizontal="center"/>
    </xf>
    <xf numFmtId="3" fontId="53" fillId="0" borderId="0" xfId="1" applyNumberFormat="1" applyFont="1" applyAlignment="1">
      <alignment vertical="center"/>
    </xf>
    <xf numFmtId="166" fontId="53" fillId="0" borderId="0" xfId="1" applyNumberFormat="1" applyFont="1" applyAlignment="1">
      <alignment vertical="center"/>
    </xf>
    <xf numFmtId="166" fontId="51" fillId="0" borderId="8" xfId="0" applyNumberFormat="1" applyFont="1" applyBorder="1" applyAlignment="1">
      <alignment horizontal="right" vertical="center" wrapText="1"/>
    </xf>
    <xf numFmtId="0" fontId="28" fillId="0" borderId="2" xfId="0" applyFont="1" applyBorder="1" applyAlignment="1">
      <alignment horizontal="center" vertical="center" wrapText="1"/>
    </xf>
    <xf numFmtId="166" fontId="28" fillId="0" borderId="6" xfId="0" applyNumberFormat="1" applyFont="1" applyBorder="1" applyAlignment="1">
      <alignment horizontal="right" vertical="center" wrapText="1"/>
    </xf>
    <xf numFmtId="0" fontId="55" fillId="2" borderId="0" xfId="0" applyFont="1" applyFill="1"/>
    <xf numFmtId="0" fontId="12" fillId="2" borderId="0" xfId="0" applyFont="1" applyFill="1"/>
    <xf numFmtId="0" fontId="0" fillId="0" borderId="0" xfId="0" applyAlignment="1">
      <alignment horizontal="center"/>
    </xf>
    <xf numFmtId="166" fontId="39" fillId="2" borderId="7" xfId="0" applyNumberFormat="1" applyFont="1" applyFill="1" applyBorder="1" applyAlignment="1">
      <alignment horizontal="right" vertical="center" wrapText="1"/>
    </xf>
    <xf numFmtId="166" fontId="0" fillId="2" borderId="0" xfId="0" applyNumberFormat="1" applyFill="1"/>
    <xf numFmtId="0" fontId="0" fillId="2" borderId="0" xfId="0" applyFill="1"/>
    <xf numFmtId="0" fontId="32" fillId="2" borderId="1" xfId="0" applyFont="1" applyFill="1" applyBorder="1" applyAlignment="1">
      <alignment horizontal="center" vertical="center" wrapText="1"/>
    </xf>
    <xf numFmtId="166" fontId="48" fillId="2" borderId="1" xfId="0" applyNumberFormat="1" applyFont="1" applyFill="1" applyBorder="1" applyAlignment="1">
      <alignment horizontal="right" vertical="center" wrapText="1"/>
    </xf>
    <xf numFmtId="0" fontId="44" fillId="2" borderId="0" xfId="0" applyFont="1" applyFill="1"/>
    <xf numFmtId="0" fontId="48" fillId="0" borderId="1" xfId="0" applyFont="1" applyBorder="1" applyAlignment="1">
      <alignment horizontal="center" vertical="center"/>
    </xf>
    <xf numFmtId="0" fontId="47" fillId="0" borderId="1" xfId="0" applyFont="1" applyBorder="1"/>
    <xf numFmtId="0" fontId="35" fillId="0" borderId="1" xfId="0" applyFont="1" applyBorder="1" applyAlignment="1">
      <alignment horizontal="center" vertical="center" wrapText="1"/>
    </xf>
    <xf numFmtId="3" fontId="25" fillId="0" borderId="0" xfId="1" applyNumberFormat="1" applyFont="1" applyAlignment="1">
      <alignment vertical="center"/>
    </xf>
    <xf numFmtId="166" fontId="39" fillId="2" borderId="6" xfId="0" applyNumberFormat="1" applyFont="1" applyFill="1" applyBorder="1" applyAlignment="1">
      <alignment horizontal="right" vertical="center" wrapText="1"/>
    </xf>
    <xf numFmtId="0" fontId="22" fillId="0" borderId="0" xfId="0" applyFont="1" applyAlignment="1">
      <alignment horizontal="left"/>
    </xf>
    <xf numFmtId="0" fontId="53" fillId="2" borderId="0" xfId="0" applyFont="1" applyFill="1"/>
    <xf numFmtId="166" fontId="54" fillId="0" borderId="22" xfId="0" applyNumberFormat="1" applyFont="1" applyBorder="1" applyAlignment="1">
      <alignment horizontal="right" vertical="center" wrapText="1"/>
    </xf>
    <xf numFmtId="0" fontId="25" fillId="2" borderId="22" xfId="0" applyFont="1" applyFill="1" applyBorder="1" applyAlignment="1">
      <alignment horizontal="center" vertical="center" wrapText="1"/>
    </xf>
    <xf numFmtId="166" fontId="55" fillId="2" borderId="22" xfId="0" applyNumberFormat="1" applyFont="1" applyFill="1" applyBorder="1" applyAlignment="1">
      <alignment horizontal="right" vertical="center" wrapText="1"/>
    </xf>
    <xf numFmtId="0" fontId="54" fillId="0" borderId="22" xfId="0" applyFont="1" applyBorder="1" applyAlignment="1">
      <alignment horizontal="center" vertical="center" wrapText="1"/>
    </xf>
    <xf numFmtId="166" fontId="38" fillId="2" borderId="7" xfId="0" applyNumberFormat="1" applyFont="1" applyFill="1" applyBorder="1" applyAlignment="1">
      <alignment horizontal="right" vertical="center" wrapText="1"/>
    </xf>
    <xf numFmtId="0" fontId="39" fillId="2" borderId="0" xfId="0" applyFont="1" applyFill="1"/>
    <xf numFmtId="172" fontId="0" fillId="0" borderId="0" xfId="9" applyNumberFormat="1" applyFont="1"/>
    <xf numFmtId="0" fontId="9" fillId="2" borderId="0" xfId="0" applyFont="1" applyFill="1" applyAlignment="1">
      <alignment horizontal="right" vertical="center"/>
    </xf>
    <xf numFmtId="0" fontId="11" fillId="2" borderId="0" xfId="0" applyFont="1" applyFill="1" applyAlignment="1">
      <alignment horizontal="right" vertical="center"/>
    </xf>
    <xf numFmtId="0" fontId="61" fillId="2" borderId="1" xfId="0" applyFont="1" applyFill="1" applyBorder="1" applyAlignment="1">
      <alignment horizontal="center" vertical="center" wrapText="1"/>
    </xf>
    <xf numFmtId="0" fontId="54" fillId="0" borderId="17" xfId="0" applyFont="1" applyBorder="1" applyAlignment="1">
      <alignment horizontal="center" vertical="center" wrapText="1"/>
    </xf>
    <xf numFmtId="0" fontId="54" fillId="0" borderId="17" xfId="0" applyFont="1" applyBorder="1" applyAlignment="1">
      <alignment vertical="center" wrapText="1"/>
    </xf>
    <xf numFmtId="166" fontId="54" fillId="0" borderId="17" xfId="0" applyNumberFormat="1" applyFont="1" applyBorder="1" applyAlignment="1">
      <alignment horizontal="right" vertical="center" wrapText="1"/>
    </xf>
    <xf numFmtId="2" fontId="54" fillId="0" borderId="17" xfId="0" applyNumberFormat="1" applyFont="1" applyBorder="1" applyAlignment="1">
      <alignment horizontal="right" vertical="center" wrapText="1"/>
    </xf>
    <xf numFmtId="0" fontId="54" fillId="0" borderId="9" xfId="0" applyFont="1" applyBorder="1" applyAlignment="1">
      <alignment horizontal="center" vertical="center" wrapText="1"/>
    </xf>
    <xf numFmtId="0" fontId="54" fillId="0" borderId="9" xfId="0" applyFont="1" applyBorder="1" applyAlignment="1">
      <alignment vertical="center" wrapText="1"/>
    </xf>
    <xf numFmtId="166" fontId="54" fillId="0" borderId="9" xfId="0" applyNumberFormat="1" applyFont="1" applyBorder="1" applyAlignment="1">
      <alignment horizontal="right" vertical="center" wrapText="1"/>
    </xf>
    <xf numFmtId="2" fontId="54" fillId="0" borderId="9" xfId="0" applyNumberFormat="1" applyFont="1" applyBorder="1" applyAlignment="1">
      <alignment horizontal="right" vertical="center" wrapText="1"/>
    </xf>
    <xf numFmtId="0" fontId="54" fillId="0" borderId="22" xfId="0" applyFont="1" applyBorder="1" applyAlignment="1">
      <alignment vertical="center" wrapText="1"/>
    </xf>
    <xf numFmtId="2" fontId="54" fillId="0" borderId="22" xfId="0" applyNumberFormat="1" applyFont="1" applyBorder="1" applyAlignment="1">
      <alignment horizontal="right" vertical="center" wrapText="1"/>
    </xf>
    <xf numFmtId="0" fontId="48" fillId="0" borderId="1" xfId="0" applyFont="1" applyBorder="1" applyAlignment="1">
      <alignment horizontal="justify" vertical="center" wrapText="1"/>
    </xf>
    <xf numFmtId="166" fontId="34" fillId="0" borderId="1" xfId="0" applyNumberFormat="1" applyFont="1" applyBorder="1" applyAlignment="1">
      <alignment horizontal="right" vertical="center" wrapText="1"/>
    </xf>
    <xf numFmtId="166" fontId="28" fillId="0" borderId="1" xfId="0" applyNumberFormat="1" applyFont="1" applyBorder="1" applyAlignment="1">
      <alignment horizontal="right" vertical="center" wrapText="1"/>
    </xf>
    <xf numFmtId="166" fontId="98" fillId="0" borderId="0" xfId="0" applyNumberFormat="1" applyFont="1"/>
    <xf numFmtId="0" fontId="98" fillId="0" borderId="0" xfId="0" applyFont="1"/>
    <xf numFmtId="0" fontId="27" fillId="0" borderId="7" xfId="0" applyFont="1" applyBorder="1" applyAlignment="1">
      <alignment horizontal="justify" vertical="center" wrapText="1"/>
    </xf>
    <xf numFmtId="0" fontId="27" fillId="0" borderId="17" xfId="0" applyFont="1" applyBorder="1" applyAlignment="1">
      <alignment horizontal="justify" vertical="center" wrapText="1"/>
    </xf>
    <xf numFmtId="0" fontId="27" fillId="0" borderId="9" xfId="0" applyFont="1" applyBorder="1" applyAlignment="1">
      <alignment horizontal="justify" vertical="center" wrapText="1"/>
    </xf>
    <xf numFmtId="0" fontId="62" fillId="2" borderId="1" xfId="0" applyFont="1" applyFill="1" applyBorder="1" applyAlignment="1">
      <alignment horizontal="center" vertical="center" wrapText="1"/>
    </xf>
    <xf numFmtId="0" fontId="54" fillId="0" borderId="1"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22" xfId="0" applyFont="1" applyBorder="1" applyAlignment="1">
      <alignment horizontal="center" vertical="center" wrapText="1"/>
    </xf>
    <xf numFmtId="0" fontId="29" fillId="0" borderId="7" xfId="0" applyFont="1" applyBorder="1" applyAlignment="1">
      <alignment horizontal="justify" vertical="center" wrapText="1"/>
    </xf>
    <xf numFmtId="0" fontId="47" fillId="0" borderId="1" xfId="0" applyFont="1" applyBorder="1" applyAlignment="1">
      <alignment horizontal="justify" vertical="center" wrapText="1"/>
    </xf>
    <xf numFmtId="0" fontId="9" fillId="0" borderId="0" xfId="0" applyFont="1" applyAlignment="1">
      <alignment horizontal="center" vertical="center"/>
    </xf>
    <xf numFmtId="0" fontId="64" fillId="0" borderId="0" xfId="0" applyFont="1" applyAlignment="1">
      <alignment horizontal="center" vertical="center"/>
    </xf>
    <xf numFmtId="0" fontId="60" fillId="0" borderId="0" xfId="0" applyFont="1"/>
    <xf numFmtId="166" fontId="60" fillId="0" borderId="0" xfId="0" applyNumberFormat="1" applyFont="1"/>
    <xf numFmtId="166" fontId="53" fillId="0" borderId="0" xfId="0" applyNumberFormat="1" applyFont="1"/>
    <xf numFmtId="4" fontId="60" fillId="0" borderId="0" xfId="0" applyNumberFormat="1" applyFont="1"/>
    <xf numFmtId="172" fontId="32" fillId="0" borderId="1" xfId="9" applyNumberFormat="1" applyFont="1" applyBorder="1" applyAlignment="1">
      <alignment horizontal="right" vertical="center" wrapText="1"/>
    </xf>
    <xf numFmtId="172" fontId="6" fillId="0" borderId="7" xfId="9" applyNumberFormat="1" applyFont="1" applyBorder="1" applyAlignment="1">
      <alignment horizontal="right" vertical="center" wrapText="1"/>
    </xf>
    <xf numFmtId="172" fontId="61" fillId="0" borderId="7" xfId="9" applyNumberFormat="1" applyFont="1" applyBorder="1" applyAlignment="1">
      <alignment horizontal="right" vertical="center" wrapText="1"/>
    </xf>
    <xf numFmtId="173" fontId="5" fillId="0" borderId="0" xfId="0" applyNumberFormat="1" applyFont="1"/>
    <xf numFmtId="0" fontId="11" fillId="0" borderId="0" xfId="0" applyFont="1" applyAlignment="1">
      <alignment vertical="center" wrapText="1"/>
    </xf>
    <xf numFmtId="175" fontId="0" fillId="0" borderId="0" xfId="9" applyNumberFormat="1" applyFont="1"/>
    <xf numFmtId="9" fontId="28" fillId="0" borderId="1" xfId="64" applyFont="1" applyBorder="1" applyAlignment="1">
      <alignment horizontal="right" vertical="center" wrapText="1"/>
    </xf>
    <xf numFmtId="3" fontId="92" fillId="0" borderId="0" xfId="1" applyNumberFormat="1" applyFont="1" applyAlignment="1">
      <alignment horizontal="center"/>
    </xf>
    <xf numFmtId="0" fontId="27" fillId="0" borderId="1" xfId="0" applyFont="1" applyBorder="1" applyAlignment="1">
      <alignment horizontal="justify" vertical="center" wrapText="1"/>
    </xf>
    <xf numFmtId="1" fontId="27" fillId="0" borderId="7" xfId="0" applyNumberFormat="1" applyFont="1" applyBorder="1" applyAlignment="1">
      <alignment vertical="center" wrapText="1"/>
    </xf>
    <xf numFmtId="1" fontId="32" fillId="0" borderId="1" xfId="0" applyNumberFormat="1" applyFont="1" applyBorder="1" applyAlignment="1">
      <alignment horizontal="right" vertical="center" wrapText="1"/>
    </xf>
    <xf numFmtId="1" fontId="6" fillId="0" borderId="9" xfId="0" applyNumberFormat="1" applyFont="1" applyBorder="1" applyAlignment="1">
      <alignment horizontal="right" vertical="center" wrapText="1"/>
    </xf>
    <xf numFmtId="0" fontId="91" fillId="0" borderId="0" xfId="0" applyFont="1" applyAlignment="1">
      <alignment horizontal="center" vertical="center" wrapText="1"/>
    </xf>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7" fillId="0" borderId="0" xfId="66" applyFont="1" applyAlignment="1">
      <alignment horizontal="center" wrapText="1"/>
    </xf>
    <xf numFmtId="0" fontId="7" fillId="0" borderId="0" xfId="66" applyFont="1" applyAlignment="1">
      <alignment horizontal="left" wrapText="1"/>
    </xf>
    <xf numFmtId="0" fontId="8" fillId="0" borderId="0" xfId="66" applyFont="1"/>
    <xf numFmtId="0" fontId="78" fillId="0" borderId="0" xfId="66"/>
    <xf numFmtId="0" fontId="101" fillId="0" borderId="0" xfId="66" applyFont="1"/>
    <xf numFmtId="0" fontId="102" fillId="0" borderId="0" xfId="0" applyFont="1"/>
    <xf numFmtId="0" fontId="7" fillId="0" borderId="15" xfId="66" applyFont="1" applyBorder="1" applyAlignment="1">
      <alignment horizontal="center" wrapText="1"/>
    </xf>
    <xf numFmtId="0" fontId="60" fillId="0" borderId="1" xfId="66" applyFont="1" applyBorder="1" applyAlignment="1">
      <alignment horizontal="center" vertical="center" wrapText="1"/>
    </xf>
    <xf numFmtId="0" fontId="103" fillId="0" borderId="0" xfId="0" applyFont="1"/>
    <xf numFmtId="171" fontId="78" fillId="0" borderId="0" xfId="66" applyNumberFormat="1"/>
    <xf numFmtId="0" fontId="53" fillId="0" borderId="7" xfId="66" applyFont="1" applyBorder="1" applyAlignment="1">
      <alignment horizontal="center" vertical="center" wrapText="1"/>
    </xf>
    <xf numFmtId="0" fontId="53" fillId="0" borderId="7" xfId="66" applyFont="1" applyBorder="1" applyAlignment="1">
      <alignment horizontal="justify" vertical="center" wrapText="1"/>
    </xf>
    <xf numFmtId="171" fontId="53" fillId="0" borderId="7" xfId="66" applyNumberFormat="1" applyFont="1" applyBorder="1" applyAlignment="1">
      <alignment horizontal="right" vertical="center" wrapText="1"/>
    </xf>
    <xf numFmtId="171" fontId="53" fillId="0" borderId="7" xfId="67" applyNumberFormat="1" applyFont="1" applyBorder="1" applyAlignment="1">
      <alignment horizontal="right" vertical="center" wrapText="1"/>
    </xf>
    <xf numFmtId="0" fontId="78" fillId="0" borderId="0" xfId="66" applyAlignment="1">
      <alignment horizontal="center"/>
    </xf>
    <xf numFmtId="0" fontId="28" fillId="0" borderId="1" xfId="0" applyFont="1" applyBorder="1" applyAlignment="1">
      <alignment vertical="center" wrapText="1"/>
    </xf>
    <xf numFmtId="0" fontId="8" fillId="0" borderId="0" xfId="0" applyFont="1" applyAlignment="1">
      <alignment horizontal="right" vertical="center"/>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lignment vertical="center" wrapText="1"/>
    </xf>
    <xf numFmtId="166" fontId="13" fillId="0" borderId="7" xfId="0" applyNumberFormat="1" applyFont="1" applyBorder="1" applyAlignment="1">
      <alignment horizontal="right" vertical="center" wrapText="1"/>
    </xf>
    <xf numFmtId="0" fontId="7" fillId="0" borderId="8" xfId="0" applyFont="1" applyBorder="1" applyAlignment="1">
      <alignment horizontal="center" vertical="center" wrapText="1"/>
    </xf>
    <xf numFmtId="0" fontId="7" fillId="0" borderId="8" xfId="0" applyFont="1" applyBorder="1" applyAlignment="1">
      <alignment vertical="center" wrapText="1"/>
    </xf>
    <xf numFmtId="166" fontId="7" fillId="0" borderId="8" xfId="0" applyNumberFormat="1" applyFont="1" applyBorder="1" applyAlignment="1">
      <alignment horizontal="right" vertical="center" wrapText="1"/>
    </xf>
    <xf numFmtId="0" fontId="7" fillId="0" borderId="17" xfId="0" applyFont="1" applyBorder="1" applyAlignment="1">
      <alignment horizontal="center" vertical="center" wrapText="1"/>
    </xf>
    <xf numFmtId="0" fontId="7" fillId="0" borderId="17" xfId="0" applyFont="1" applyBorder="1" applyAlignment="1">
      <alignment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166" fontId="60" fillId="0" borderId="9" xfId="0" applyNumberFormat="1" applyFont="1" applyBorder="1" applyAlignment="1">
      <alignment horizontal="right" vertical="center" wrapText="1"/>
    </xf>
    <xf numFmtId="0" fontId="7" fillId="0" borderId="1" xfId="0" applyFont="1" applyBorder="1" applyAlignment="1">
      <alignment vertical="center" wrapText="1"/>
    </xf>
    <xf numFmtId="166" fontId="7" fillId="0" borderId="1" xfId="0" applyNumberFormat="1" applyFont="1" applyBorder="1" applyAlignment="1">
      <alignment horizontal="right" vertical="center" wrapText="1"/>
    </xf>
    <xf numFmtId="174" fontId="7" fillId="0" borderId="1" xfId="10" applyNumberFormat="1" applyFont="1" applyBorder="1" applyAlignment="1">
      <alignment vertical="center" wrapText="1"/>
    </xf>
    <xf numFmtId="0" fontId="95" fillId="2" borderId="6" xfId="0" applyNumberFormat="1" applyFont="1" applyFill="1" applyBorder="1" applyAlignment="1">
      <alignment horizontal="justify" vertical="center" wrapText="1"/>
    </xf>
    <xf numFmtId="1" fontId="28" fillId="0" borderId="6" xfId="0" applyNumberFormat="1" applyFont="1" applyBorder="1" applyAlignment="1">
      <alignment vertical="center" wrapText="1"/>
    </xf>
    <xf numFmtId="1" fontId="27" fillId="0" borderId="17" xfId="0" applyNumberFormat="1" applyFont="1" applyBorder="1" applyAlignment="1">
      <alignment vertical="center" wrapText="1"/>
    </xf>
    <xf numFmtId="1" fontId="27" fillId="0" borderId="8" xfId="0" applyNumberFormat="1" applyFont="1" applyBorder="1" applyAlignment="1">
      <alignment vertical="center" wrapText="1"/>
    </xf>
    <xf numFmtId="1" fontId="0" fillId="0" borderId="0" xfId="0" applyNumberFormat="1"/>
    <xf numFmtId="0" fontId="90" fillId="0" borderId="8" xfId="0" applyFont="1" applyBorder="1" applyAlignment="1">
      <alignment horizontal="justify" vertical="center" wrapText="1"/>
    </xf>
    <xf numFmtId="166" fontId="0" fillId="0" borderId="0" xfId="0" applyNumberFormat="1" applyAlignment="1"/>
    <xf numFmtId="4" fontId="13" fillId="0" borderId="9" xfId="0" applyNumberFormat="1" applyFont="1" applyBorder="1" applyAlignment="1">
      <alignment vertical="center" wrapText="1"/>
    </xf>
    <xf numFmtId="166" fontId="13" fillId="0" borderId="9" xfId="0" applyNumberFormat="1" applyFont="1" applyBorder="1" applyAlignment="1">
      <alignment horizontal="right" vertical="center" wrapText="1"/>
    </xf>
    <xf numFmtId="4" fontId="13" fillId="0" borderId="7" xfId="0" applyNumberFormat="1" applyFont="1" applyBorder="1" applyAlignment="1">
      <alignment vertical="center" wrapText="1"/>
    </xf>
    <xf numFmtId="4" fontId="13" fillId="0" borderId="17" xfId="0" applyNumberFormat="1" applyFont="1" applyBorder="1" applyAlignment="1">
      <alignment vertical="center" wrapText="1"/>
    </xf>
    <xf numFmtId="166" fontId="13" fillId="0" borderId="17" xfId="0" applyNumberFormat="1" applyFont="1" applyBorder="1" applyAlignment="1">
      <alignment horizontal="right" vertical="center" wrapText="1"/>
    </xf>
    <xf numFmtId="4" fontId="13" fillId="0" borderId="9" xfId="0" applyNumberFormat="1" applyFont="1" applyBorder="1" applyAlignment="1">
      <alignment horizontal="left" vertical="center" wrapText="1"/>
    </xf>
    <xf numFmtId="4" fontId="13" fillId="0" borderId="7" xfId="0" applyNumberFormat="1" applyFont="1" applyBorder="1" applyAlignment="1">
      <alignment horizontal="left" vertical="center" wrapText="1"/>
    </xf>
    <xf numFmtId="4" fontId="13" fillId="0" borderId="17" xfId="0" applyNumberFormat="1" applyFont="1" applyBorder="1" applyAlignment="1">
      <alignment horizontal="left" vertical="center" wrapText="1"/>
    </xf>
    <xf numFmtId="0" fontId="46" fillId="0" borderId="0" xfId="0" applyFont="1"/>
    <xf numFmtId="164" fontId="54" fillId="0" borderId="7" xfId="9" applyFont="1" applyBorder="1" applyAlignment="1">
      <alignment horizontal="right" vertical="center" wrapText="1"/>
    </xf>
    <xf numFmtId="9" fontId="90" fillId="0" borderId="1" xfId="64" applyFont="1" applyBorder="1" applyAlignment="1">
      <alignment horizontal="right" vertical="center" wrapText="1"/>
    </xf>
    <xf numFmtId="0" fontId="0" fillId="0" borderId="0" xfId="0" applyBorder="1"/>
    <xf numFmtId="166" fontId="0" fillId="0" borderId="0" xfId="0" applyNumberFormat="1" applyBorder="1"/>
    <xf numFmtId="166" fontId="6" fillId="0" borderId="0" xfId="0" applyNumberFormat="1" applyFont="1" applyBorder="1" applyAlignment="1">
      <alignment horizontal="right" vertical="center" wrapText="1"/>
    </xf>
    <xf numFmtId="172" fontId="32" fillId="0" borderId="1" xfId="9" applyNumberFormat="1" applyFont="1" applyBorder="1" applyAlignment="1">
      <alignment horizontal="center" vertical="center" wrapText="1"/>
    </xf>
    <xf numFmtId="173" fontId="22" fillId="0" borderId="0" xfId="0" applyNumberFormat="1" applyFont="1"/>
    <xf numFmtId="1" fontId="107" fillId="0" borderId="17" xfId="0" applyNumberFormat="1" applyFont="1" applyBorder="1" applyAlignment="1">
      <alignment horizontal="right" vertical="center" wrapText="1"/>
    </xf>
    <xf numFmtId="1" fontId="6" fillId="0" borderId="3" xfId="0" applyNumberFormat="1" applyFont="1" applyBorder="1" applyAlignment="1">
      <alignment horizontal="right" vertical="center" wrapText="1"/>
    </xf>
    <xf numFmtId="172" fontId="9" fillId="0" borderId="0" xfId="9" applyNumberFormat="1" applyFont="1" applyAlignment="1">
      <alignment horizontal="right" vertical="center"/>
    </xf>
    <xf numFmtId="172" fontId="11" fillId="0" borderId="0" xfId="9" applyNumberFormat="1" applyFont="1" applyAlignment="1">
      <alignment horizontal="right" vertical="center"/>
    </xf>
    <xf numFmtId="172" fontId="6" fillId="0" borderId="22" xfId="9" applyNumberFormat="1" applyFont="1" applyBorder="1" applyAlignment="1">
      <alignment horizontal="center" vertical="center" wrapText="1"/>
    </xf>
    <xf numFmtId="0" fontId="29" fillId="0" borderId="0" xfId="0" applyFont="1" applyAlignment="1">
      <alignment horizontal="center" vertical="center" wrapText="1"/>
    </xf>
    <xf numFmtId="175" fontId="22" fillId="0" borderId="0" xfId="9" applyNumberFormat="1" applyFont="1" applyAlignment="1">
      <alignment vertical="center"/>
    </xf>
    <xf numFmtId="164" fontId="6" fillId="0" borderId="22" xfId="9" applyNumberFormat="1" applyFont="1" applyBorder="1" applyAlignment="1">
      <alignment horizontal="center" vertical="center" wrapText="1"/>
    </xf>
    <xf numFmtId="0" fontId="5" fillId="0" borderId="0" xfId="0" applyFont="1" applyAlignment="1"/>
    <xf numFmtId="0" fontId="28" fillId="0" borderId="0" xfId="0" applyFont="1" applyAlignment="1">
      <alignment vertical="center"/>
    </xf>
    <xf numFmtId="0" fontId="29" fillId="0" borderId="0" xfId="0" applyFont="1" applyAlignment="1">
      <alignment horizontal="right" vertical="center"/>
    </xf>
    <xf numFmtId="0" fontId="50" fillId="0" borderId="0" xfId="0" applyFont="1" applyAlignment="1">
      <alignment horizontal="center" vertical="center"/>
    </xf>
    <xf numFmtId="0" fontId="44" fillId="0" borderId="0" xfId="0" applyFont="1" applyAlignment="1">
      <alignment horizontal="center"/>
    </xf>
    <xf numFmtId="0" fontId="10" fillId="0" borderId="22" xfId="0" applyFont="1" applyBorder="1" applyAlignment="1">
      <alignment horizontal="center" vertical="center" wrapText="1"/>
    </xf>
    <xf numFmtId="0" fontId="27" fillId="0" borderId="4" xfId="0" applyFont="1" applyBorder="1" applyAlignment="1">
      <alignment horizontal="center" vertical="center" wrapText="1"/>
    </xf>
    <xf numFmtId="166" fontId="27" fillId="0" borderId="4" xfId="0" applyNumberFormat="1" applyFont="1" applyBorder="1" applyAlignment="1">
      <alignment horizontal="right" vertical="center" wrapText="1"/>
    </xf>
    <xf numFmtId="175" fontId="6" fillId="0" borderId="22" xfId="9" applyNumberFormat="1" applyFont="1" applyBorder="1" applyAlignment="1">
      <alignment horizontal="center" vertical="center" wrapText="1"/>
    </xf>
    <xf numFmtId="0" fontId="28" fillId="0" borderId="1" xfId="0" applyFont="1" applyBorder="1" applyAlignment="1">
      <alignment horizontal="center" vertical="center" wrapText="1"/>
    </xf>
    <xf numFmtId="0" fontId="9" fillId="0" borderId="0" xfId="0" applyFont="1" applyAlignment="1">
      <alignment horizontal="center" vertical="center"/>
    </xf>
    <xf numFmtId="3" fontId="92" fillId="0" borderId="0" xfId="1" applyNumberFormat="1" applyFont="1" applyAlignment="1">
      <alignment horizontal="justify"/>
    </xf>
    <xf numFmtId="3" fontId="53" fillId="0" borderId="0" xfId="1" applyNumberFormat="1" applyFont="1" applyAlignment="1">
      <alignment horizontal="justify" vertical="center"/>
    </xf>
    <xf numFmtId="3" fontId="25" fillId="0" borderId="0" xfId="1" applyNumberFormat="1" applyFont="1" applyAlignment="1">
      <alignment horizontal="justify" vertical="center"/>
    </xf>
    <xf numFmtId="3" fontId="13" fillId="0" borderId="0" xfId="1" applyNumberFormat="1" applyFont="1" applyAlignment="1">
      <alignment horizontal="justify"/>
    </xf>
    <xf numFmtId="172" fontId="53" fillId="0" borderId="0" xfId="9" applyNumberFormat="1" applyFont="1"/>
    <xf numFmtId="172" fontId="60" fillId="0" borderId="0" xfId="9" applyNumberFormat="1" applyFont="1"/>
    <xf numFmtId="172" fontId="60" fillId="0" borderId="0" xfId="9" applyNumberFormat="1" applyFont="1" applyAlignment="1">
      <alignment horizontal="center"/>
    </xf>
    <xf numFmtId="172" fontId="53" fillId="0" borderId="0" xfId="9" applyNumberFormat="1" applyFont="1" applyAlignment="1">
      <alignment vertical="center"/>
    </xf>
    <xf numFmtId="172" fontId="25" fillId="0" borderId="0" xfId="9" applyNumberFormat="1" applyFont="1" applyAlignment="1">
      <alignment vertical="center"/>
    </xf>
    <xf numFmtId="172" fontId="13" fillId="0" borderId="0" xfId="9" applyNumberFormat="1" applyFont="1"/>
    <xf numFmtId="164" fontId="54" fillId="0" borderId="8" xfId="9" applyFont="1" applyBorder="1" applyAlignment="1">
      <alignment horizontal="right" vertical="center" wrapText="1"/>
    </xf>
    <xf numFmtId="172" fontId="0" fillId="0" borderId="0" xfId="9" applyNumberFormat="1" applyFont="1" applyAlignment="1"/>
    <xf numFmtId="172" fontId="54" fillId="0" borderId="7" xfId="9" applyNumberFormat="1" applyFont="1" applyBorder="1" applyAlignment="1">
      <alignment horizontal="right" vertical="center" wrapText="1"/>
    </xf>
    <xf numFmtId="172" fontId="5" fillId="2" borderId="7" xfId="9" applyNumberFormat="1" applyFont="1" applyFill="1" applyBorder="1"/>
    <xf numFmtId="172" fontId="53" fillId="2" borderId="7" xfId="9" applyNumberFormat="1" applyFont="1" applyFill="1" applyBorder="1"/>
    <xf numFmtId="172" fontId="54" fillId="0" borderId="8" xfId="9" applyNumberFormat="1" applyFont="1" applyBorder="1" applyAlignment="1">
      <alignment horizontal="right" vertical="center" wrapText="1"/>
    </xf>
    <xf numFmtId="172" fontId="54" fillId="0" borderId="22" xfId="9" applyNumberFormat="1" applyFont="1" applyBorder="1" applyAlignment="1">
      <alignment horizontal="right" vertical="center" wrapText="1"/>
    </xf>
    <xf numFmtId="172" fontId="54" fillId="0" borderId="9" xfId="9" applyNumberFormat="1" applyFont="1" applyBorder="1" applyAlignment="1">
      <alignment horizontal="right" vertical="center" wrapText="1"/>
    </xf>
    <xf numFmtId="172" fontId="54" fillId="2" borderId="7" xfId="9" applyNumberFormat="1" applyFont="1" applyFill="1" applyBorder="1" applyAlignment="1">
      <alignment horizontal="right" vertical="center" wrapText="1"/>
    </xf>
    <xf numFmtId="172" fontId="54" fillId="0" borderId="17" xfId="9" applyNumberFormat="1" applyFont="1" applyBorder="1" applyAlignment="1">
      <alignment horizontal="right" vertical="center" wrapText="1"/>
    </xf>
    <xf numFmtId="164" fontId="54" fillId="0" borderId="7" xfId="9" applyFont="1" applyBorder="1" applyAlignment="1">
      <alignment horizontal="center" vertical="center" wrapText="1"/>
    </xf>
    <xf numFmtId="164" fontId="54" fillId="0" borderId="8" xfId="9" applyFont="1" applyBorder="1" applyAlignment="1">
      <alignment horizontal="center" vertical="center" wrapText="1"/>
    </xf>
    <xf numFmtId="172" fontId="13" fillId="0" borderId="9" xfId="9" applyNumberFormat="1" applyFont="1" applyBorder="1" applyAlignment="1">
      <alignment horizontal="right" vertical="center" wrapText="1"/>
    </xf>
    <xf numFmtId="172" fontId="13" fillId="0" borderId="7" xfId="9" applyNumberFormat="1" applyFont="1" applyBorder="1" applyAlignment="1">
      <alignment horizontal="right" vertical="center" wrapText="1"/>
    </xf>
    <xf numFmtId="172" fontId="13" fillId="0" borderId="17" xfId="9" applyNumberFormat="1" applyFont="1" applyBorder="1" applyAlignment="1">
      <alignment horizontal="right" vertical="center" wrapText="1"/>
    </xf>
    <xf numFmtId="0" fontId="5" fillId="0" borderId="0" xfId="0" applyFont="1" applyAlignment="1">
      <alignment horizontal="center"/>
    </xf>
    <xf numFmtId="173" fontId="55" fillId="0" borderId="0" xfId="0" applyNumberFormat="1" applyFont="1"/>
    <xf numFmtId="0" fontId="7" fillId="0" borderId="15" xfId="66" applyFont="1" applyBorder="1" applyAlignment="1">
      <alignment horizontal="justify" wrapText="1"/>
    </xf>
    <xf numFmtId="0" fontId="78" fillId="0" borderId="0" xfId="66" applyAlignment="1">
      <alignment horizontal="justify"/>
    </xf>
    <xf numFmtId="0" fontId="0" fillId="0" borderId="0" xfId="0" applyAlignment="1">
      <alignment horizontal="justify"/>
    </xf>
    <xf numFmtId="0" fontId="28" fillId="0" borderId="1" xfId="0" applyFont="1" applyBorder="1" applyAlignment="1">
      <alignment horizontal="center" vertical="center" wrapText="1"/>
    </xf>
    <xf numFmtId="0" fontId="9" fillId="0" borderId="0" xfId="0" applyFont="1" applyAlignment="1">
      <alignment horizontal="center" vertical="center"/>
    </xf>
    <xf numFmtId="164" fontId="6" fillId="0" borderId="7" xfId="9" applyFont="1" applyBorder="1" applyAlignment="1">
      <alignment horizontal="right" vertical="center" wrapText="1"/>
    </xf>
    <xf numFmtId="0" fontId="22" fillId="0" borderId="0" xfId="0" applyFont="1" applyFill="1"/>
    <xf numFmtId="0" fontId="55" fillId="0" borderId="0" xfId="0" applyFont="1" applyFill="1"/>
    <xf numFmtId="0" fontId="5" fillId="0" borderId="0" xfId="0" applyFont="1" applyFill="1"/>
    <xf numFmtId="0" fontId="64" fillId="0" borderId="0" xfId="0" applyFont="1" applyAlignment="1">
      <alignment horizontal="center" vertical="center" wrapText="1"/>
    </xf>
    <xf numFmtId="0" fontId="28" fillId="0" borderId="1" xfId="0" applyFont="1" applyBorder="1" applyAlignment="1">
      <alignment horizontal="center" vertical="center" wrapText="1"/>
    </xf>
    <xf numFmtId="0" fontId="11" fillId="0" borderId="0" xfId="0" applyFont="1" applyAlignment="1">
      <alignment horizontal="center" vertical="center" wrapText="1"/>
    </xf>
    <xf numFmtId="166" fontId="28" fillId="0" borderId="1" xfId="0" applyNumberFormat="1" applyFont="1" applyBorder="1" applyAlignment="1">
      <alignment horizontal="center" vertical="center" wrapText="1"/>
    </xf>
    <xf numFmtId="0" fontId="22" fillId="2" borderId="0" xfId="0" applyFont="1" applyFill="1" applyAlignment="1">
      <alignment horizontal="left"/>
    </xf>
    <xf numFmtId="0" fontId="0" fillId="2" borderId="0" xfId="0" applyFill="1" applyAlignment="1">
      <alignment horizontal="left"/>
    </xf>
    <xf numFmtId="166" fontId="42" fillId="2" borderId="0" xfId="0" applyNumberFormat="1" applyFont="1" applyFill="1"/>
    <xf numFmtId="0" fontId="63" fillId="2" borderId="1" xfId="0" applyFont="1" applyFill="1" applyBorder="1" applyAlignment="1">
      <alignment horizontal="center" vertical="center" wrapText="1"/>
    </xf>
    <xf numFmtId="0" fontId="12" fillId="2" borderId="0" xfId="0" applyFont="1" applyFill="1" applyBorder="1"/>
    <xf numFmtId="166" fontId="12" fillId="2" borderId="0" xfId="0" applyNumberFormat="1" applyFont="1" applyFill="1" applyBorder="1"/>
    <xf numFmtId="0" fontId="5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166" fontId="55" fillId="2" borderId="1" xfId="0" applyNumberFormat="1" applyFont="1" applyFill="1" applyBorder="1" applyAlignment="1">
      <alignment horizontal="right" vertical="center" wrapText="1"/>
    </xf>
    <xf numFmtId="166" fontId="55" fillId="2" borderId="0" xfId="0" applyNumberFormat="1" applyFont="1" applyFill="1"/>
    <xf numFmtId="166" fontId="55" fillId="2" borderId="0" xfId="0" applyNumberFormat="1" applyFont="1" applyFill="1" applyBorder="1"/>
    <xf numFmtId="0" fontId="55" fillId="2" borderId="0" xfId="0" applyFont="1" applyFill="1" applyBorder="1"/>
    <xf numFmtId="0" fontId="54" fillId="2" borderId="22" xfId="0" applyFont="1" applyFill="1" applyBorder="1" applyAlignment="1">
      <alignment horizontal="center" vertical="center" wrapText="1"/>
    </xf>
    <xf numFmtId="0" fontId="35" fillId="2" borderId="22" xfId="0" applyFont="1" applyFill="1" applyBorder="1" applyAlignment="1">
      <alignment horizontal="justify" vertical="center" wrapText="1"/>
    </xf>
    <xf numFmtId="167" fontId="96" fillId="2" borderId="0" xfId="10" applyNumberFormat="1" applyFont="1" applyFill="1" applyBorder="1" applyAlignment="1">
      <alignment vertical="center" wrapText="1"/>
    </xf>
    <xf numFmtId="167" fontId="63" fillId="2" borderId="22" xfId="0" applyNumberFormat="1" applyFont="1" applyFill="1" applyBorder="1" applyAlignment="1">
      <alignment horizontal="justify" vertical="center" wrapText="1"/>
    </xf>
    <xf numFmtId="168" fontId="96" fillId="2" borderId="0" xfId="10" applyNumberFormat="1" applyFont="1" applyFill="1" applyBorder="1" applyAlignment="1">
      <alignment vertical="center" wrapText="1"/>
    </xf>
    <xf numFmtId="0" fontId="25" fillId="2" borderId="4" xfId="0" applyFont="1" applyFill="1" applyBorder="1" applyAlignment="1">
      <alignment horizontal="center" vertical="center" wrapText="1"/>
    </xf>
    <xf numFmtId="0" fontId="63" fillId="2" borderId="4" xfId="0" applyNumberFormat="1" applyFont="1" applyFill="1" applyBorder="1" applyAlignment="1">
      <alignment horizontal="justify" vertical="center" wrapText="1"/>
    </xf>
    <xf numFmtId="0" fontId="40" fillId="2" borderId="0" xfId="0" applyFont="1" applyFill="1" applyAlignment="1">
      <alignment horizontal="left" vertical="center"/>
    </xf>
    <xf numFmtId="0" fontId="12" fillId="2" borderId="0" xfId="0" applyFont="1" applyFill="1" applyAlignment="1">
      <alignment horizontal="left"/>
    </xf>
    <xf numFmtId="172" fontId="53" fillId="0" borderId="0" xfId="9" applyNumberFormat="1" applyFont="1" applyAlignment="1">
      <alignment horizontal="center"/>
    </xf>
    <xf numFmtId="0" fontId="60" fillId="0" borderId="2" xfId="66" applyFont="1" applyBorder="1" applyAlignment="1">
      <alignment horizontal="center" vertical="center" wrapText="1"/>
    </xf>
    <xf numFmtId="0" fontId="53" fillId="0" borderId="9" xfId="66" applyFont="1" applyBorder="1" applyAlignment="1">
      <alignment horizontal="justify" vertical="center" wrapText="1"/>
    </xf>
    <xf numFmtId="0" fontId="53" fillId="0" borderId="9" xfId="66" applyFont="1" applyBorder="1" applyAlignment="1">
      <alignment horizontal="center" vertical="center" wrapText="1"/>
    </xf>
    <xf numFmtId="171" fontId="53" fillId="0" borderId="9" xfId="66" applyNumberFormat="1" applyFont="1" applyBorder="1" applyAlignment="1">
      <alignment horizontal="right" vertical="center" wrapText="1"/>
    </xf>
    <xf numFmtId="171" fontId="53" fillId="0" borderId="9" xfId="67" applyNumberFormat="1" applyFont="1" applyBorder="1" applyAlignment="1">
      <alignment horizontal="right" vertical="center" wrapText="1"/>
    </xf>
    <xf numFmtId="171" fontId="60" fillId="0" borderId="1" xfId="66" applyNumberFormat="1"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right" vertical="center"/>
    </xf>
    <xf numFmtId="3" fontId="7" fillId="0" borderId="1" xfId="1" applyNumberFormat="1" applyFont="1" applyBorder="1" applyAlignment="1">
      <alignment horizontal="justify" vertical="center"/>
    </xf>
    <xf numFmtId="166" fontId="7" fillId="2" borderId="1" xfId="2" applyNumberFormat="1" applyFont="1" applyFill="1" applyBorder="1" applyAlignment="1">
      <alignment vertical="center" wrapText="1"/>
    </xf>
    <xf numFmtId="3" fontId="13" fillId="0" borderId="6" xfId="1" applyNumberFormat="1" applyFont="1" applyBorder="1" applyAlignment="1">
      <alignment horizontal="center" vertical="center"/>
    </xf>
    <xf numFmtId="166" fontId="13" fillId="2" borderId="6" xfId="2" applyNumberFormat="1" applyFont="1" applyFill="1" applyBorder="1" applyAlignment="1">
      <alignment vertical="center" wrapText="1"/>
    </xf>
    <xf numFmtId="0" fontId="29" fillId="0" borderId="17" xfId="0" applyFont="1" applyBorder="1" applyAlignment="1">
      <alignment horizontal="justify" vertical="center" wrapText="1"/>
    </xf>
    <xf numFmtId="0" fontId="100" fillId="0" borderId="0" xfId="0" applyFont="1"/>
    <xf numFmtId="172" fontId="55" fillId="0" borderId="0" xfId="0" applyNumberFormat="1" applyFont="1"/>
    <xf numFmtId="0" fontId="111" fillId="0" borderId="0" xfId="0" applyFont="1"/>
    <xf numFmtId="0" fontId="17" fillId="0" borderId="0" xfId="0" applyFont="1" applyFill="1"/>
    <xf numFmtId="0" fontId="53" fillId="0" borderId="7" xfId="0" applyFont="1" applyBorder="1" applyAlignment="1">
      <alignment horizontal="justify" vertical="center" wrapText="1"/>
    </xf>
    <xf numFmtId="0" fontId="6" fillId="0" borderId="0" xfId="0" applyFont="1" applyBorder="1" applyAlignment="1">
      <alignment horizontal="center" vertical="center" wrapText="1"/>
    </xf>
    <xf numFmtId="0" fontId="6" fillId="0" borderId="0" xfId="0" applyFont="1" applyBorder="1" applyAlignment="1">
      <alignment horizontal="justify" vertical="center" wrapText="1"/>
    </xf>
    <xf numFmtId="174" fontId="6" fillId="0" borderId="0" xfId="10" applyNumberFormat="1" applyFont="1" applyBorder="1" applyAlignment="1">
      <alignment horizontal="center" vertical="center" wrapText="1"/>
    </xf>
    <xf numFmtId="43" fontId="22" fillId="0" borderId="0" xfId="0" applyNumberFormat="1" applyFont="1"/>
    <xf numFmtId="167" fontId="113" fillId="0" borderId="7" xfId="80" applyNumberFormat="1" applyFont="1" applyBorder="1" applyAlignment="1">
      <alignment horizontal="center" vertical="center"/>
    </xf>
    <xf numFmtId="0" fontId="113" fillId="0" borderId="7" xfId="0" applyFont="1" applyBorder="1" applyAlignment="1">
      <alignment horizontal="left" vertical="center"/>
    </xf>
    <xf numFmtId="175" fontId="114" fillId="0" borderId="7" xfId="9" applyNumberFormat="1" applyFont="1" applyBorder="1" applyAlignment="1">
      <alignment vertical="center" wrapText="1"/>
    </xf>
    <xf numFmtId="0" fontId="114" fillId="0" borderId="0" xfId="0" applyFont="1"/>
    <xf numFmtId="166" fontId="29" fillId="0" borderId="7" xfId="0" applyNumberFormat="1" applyFont="1" applyBorder="1" applyAlignment="1">
      <alignment horizontal="right" vertical="center" wrapText="1"/>
    </xf>
    <xf numFmtId="166" fontId="29" fillId="0" borderId="17" xfId="0" applyNumberFormat="1" applyFont="1" applyBorder="1" applyAlignment="1">
      <alignment horizontal="right" vertical="center" wrapText="1"/>
    </xf>
    <xf numFmtId="0" fontId="28" fillId="0" borderId="7" xfId="0" applyFont="1" applyBorder="1" applyAlignment="1">
      <alignment horizontal="justify" vertical="center" wrapText="1"/>
    </xf>
    <xf numFmtId="166" fontId="28" fillId="0" borderId="7" xfId="0" applyNumberFormat="1" applyFont="1" applyBorder="1" applyAlignment="1">
      <alignment horizontal="right" vertical="center" wrapText="1"/>
    </xf>
    <xf numFmtId="0" fontId="27" fillId="0" borderId="4" xfId="0" applyFont="1" applyBorder="1" applyAlignment="1">
      <alignment horizontal="justify" vertical="center" wrapText="1"/>
    </xf>
    <xf numFmtId="0" fontId="90" fillId="0" borderId="7" xfId="0" applyFont="1" applyBorder="1" applyAlignment="1">
      <alignment horizontal="center" vertical="center" wrapText="1"/>
    </xf>
    <xf numFmtId="0" fontId="90" fillId="0" borderId="7" xfId="0" applyFont="1" applyBorder="1" applyAlignment="1">
      <alignment horizontal="justify" vertical="center" wrapText="1"/>
    </xf>
    <xf numFmtId="0" fontId="90" fillId="0" borderId="8" xfId="0" applyFont="1" applyBorder="1" applyAlignment="1">
      <alignment horizontal="center" vertical="center" wrapText="1"/>
    </xf>
    <xf numFmtId="0" fontId="28" fillId="0" borderId="4" xfId="0" applyFont="1" applyBorder="1" applyAlignment="1">
      <alignment horizontal="justify" vertical="center" wrapText="1"/>
    </xf>
    <xf numFmtId="166" fontId="29" fillId="0" borderId="1" xfId="0" applyNumberFormat="1" applyFont="1" applyBorder="1" applyAlignment="1">
      <alignment horizontal="right" vertical="center" wrapText="1"/>
    </xf>
    <xf numFmtId="0" fontId="22" fillId="0" borderId="0" xfId="0" applyFont="1" applyAlignment="1"/>
    <xf numFmtId="0" fontId="44" fillId="0" borderId="0" xfId="0" applyFont="1" applyFill="1"/>
    <xf numFmtId="0" fontId="13" fillId="0" borderId="0" xfId="0" applyFont="1" applyFill="1"/>
    <xf numFmtId="0" fontId="53" fillId="0" borderId="9" xfId="66" applyFont="1" applyBorder="1" applyAlignment="1">
      <alignment horizontal="center" vertical="center" wrapText="1"/>
    </xf>
    <xf numFmtId="0" fontId="53" fillId="0" borderId="9" xfId="66" applyFont="1" applyBorder="1" applyAlignment="1">
      <alignment horizontal="justify" vertical="center" wrapText="1"/>
    </xf>
    <xf numFmtId="0" fontId="115" fillId="0" borderId="1" xfId="0" applyFont="1" applyBorder="1" applyAlignment="1">
      <alignment horizontal="center" vertical="center" wrapText="1"/>
    </xf>
    <xf numFmtId="166" fontId="116" fillId="0" borderId="1" xfId="0" applyNumberFormat="1" applyFont="1" applyBorder="1" applyAlignment="1">
      <alignment horizontal="right" vertical="center" wrapText="1"/>
    </xf>
    <xf numFmtId="0" fontId="112" fillId="0" borderId="0" xfId="0" applyFont="1"/>
    <xf numFmtId="166" fontId="110" fillId="0" borderId="7" xfId="0" applyNumberFormat="1" applyFont="1" applyBorder="1" applyAlignment="1">
      <alignment horizontal="right" vertical="center" wrapText="1"/>
    </xf>
    <xf numFmtId="172" fontId="110" fillId="0" borderId="3" xfId="9" applyNumberFormat="1" applyFont="1" applyBorder="1" applyAlignment="1">
      <alignment horizontal="right" vertical="center" wrapText="1"/>
    </xf>
    <xf numFmtId="166" fontId="110" fillId="2" borderId="9" xfId="0" applyNumberFormat="1" applyFont="1" applyFill="1" applyBorder="1" applyAlignment="1">
      <alignment horizontal="right" vertical="center" wrapText="1"/>
    </xf>
    <xf numFmtId="166" fontId="110" fillId="2" borderId="7" xfId="0" applyNumberFormat="1" applyFont="1" applyFill="1" applyBorder="1" applyAlignment="1">
      <alignment horizontal="right" vertical="center" wrapText="1"/>
    </xf>
    <xf numFmtId="0" fontId="110" fillId="2" borderId="0" xfId="0" applyFont="1" applyFill="1"/>
    <xf numFmtId="0" fontId="60" fillId="2" borderId="1" xfId="60" applyFont="1" applyFill="1" applyBorder="1" applyAlignment="1">
      <alignment horizontal="justify" vertical="center" wrapText="1"/>
    </xf>
    <xf numFmtId="166" fontId="110" fillId="0" borderId="7" xfId="0" applyNumberFormat="1" applyFont="1" applyFill="1" applyBorder="1" applyAlignment="1">
      <alignment horizontal="right" vertical="center" wrapText="1"/>
    </xf>
    <xf numFmtId="0" fontId="112" fillId="0" borderId="0" xfId="0" applyFont="1" applyFill="1"/>
    <xf numFmtId="0" fontId="0" fillId="0" borderId="0" xfId="0" applyFill="1" applyAlignment="1"/>
    <xf numFmtId="0" fontId="0" fillId="0" borderId="0" xfId="0" applyFill="1"/>
    <xf numFmtId="166" fontId="22" fillId="0" borderId="0" xfId="0" applyNumberFormat="1" applyFont="1" applyFill="1"/>
    <xf numFmtId="0" fontId="98" fillId="0" borderId="0" xfId="0" applyFont="1" applyFill="1"/>
    <xf numFmtId="166" fontId="98" fillId="0" borderId="0" xfId="0" applyNumberFormat="1" applyFont="1" applyFill="1"/>
    <xf numFmtId="0" fontId="120" fillId="0" borderId="0" xfId="0" applyFont="1" applyAlignment="1">
      <alignment horizontal="center" vertical="center" wrapText="1"/>
    </xf>
    <xf numFmtId="0" fontId="119" fillId="0" borderId="1" xfId="0" applyFont="1" applyBorder="1" applyAlignment="1">
      <alignment horizontal="center" vertical="center" wrapText="1"/>
    </xf>
    <xf numFmtId="176" fontId="60" fillId="0" borderId="0" xfId="9" applyNumberFormat="1" applyFont="1" applyAlignment="1">
      <alignment horizontal="center"/>
    </xf>
    <xf numFmtId="172" fontId="11" fillId="0" borderId="0" xfId="0" applyNumberFormat="1" applyFont="1" applyAlignment="1">
      <alignment horizontal="center" vertical="center" wrapText="1"/>
    </xf>
    <xf numFmtId="172" fontId="71" fillId="0" borderId="0" xfId="0" applyNumberFormat="1" applyFont="1"/>
    <xf numFmtId="172" fontId="0" fillId="0" borderId="0" xfId="10" applyNumberFormat="1" applyFont="1"/>
    <xf numFmtId="172" fontId="68" fillId="0" borderId="0" xfId="0" applyNumberFormat="1" applyFont="1" applyAlignment="1">
      <alignment horizontal="center"/>
    </xf>
    <xf numFmtId="166" fontId="9" fillId="0" borderId="1" xfId="0" applyNumberFormat="1" applyFont="1" applyFill="1" applyBorder="1" applyAlignment="1">
      <alignment horizontal="center" vertical="center" wrapText="1"/>
    </xf>
    <xf numFmtId="166" fontId="27" fillId="0" borderId="7" xfId="0" applyNumberFormat="1" applyFont="1" applyFill="1" applyBorder="1" applyAlignment="1">
      <alignment horizontal="right" vertical="center" wrapText="1"/>
    </xf>
    <xf numFmtId="166" fontId="6" fillId="0" borderId="7" xfId="0" applyNumberFormat="1" applyFont="1" applyFill="1" applyBorder="1" applyAlignment="1">
      <alignment horizontal="right" vertical="center" wrapText="1"/>
    </xf>
    <xf numFmtId="0" fontId="60" fillId="0" borderId="17" xfId="0" applyFont="1" applyBorder="1" applyAlignment="1">
      <alignment horizontal="center" vertical="center" wrapText="1"/>
    </xf>
    <xf numFmtId="0" fontId="32" fillId="0" borderId="1" xfId="0" applyFont="1" applyFill="1" applyBorder="1" applyAlignment="1">
      <alignment horizontal="center" vertical="center" wrapText="1"/>
    </xf>
    <xf numFmtId="0" fontId="47" fillId="0" borderId="0" xfId="0" applyFont="1" applyFill="1"/>
    <xf numFmtId="0" fontId="54" fillId="0" borderId="22" xfId="0" applyFont="1" applyFill="1" applyBorder="1" applyAlignment="1">
      <alignment horizontal="center" vertical="center" wrapText="1"/>
    </xf>
    <xf numFmtId="0" fontId="35" fillId="0" borderId="22" xfId="0" applyFont="1" applyFill="1" applyBorder="1" applyAlignment="1">
      <alignment horizontal="justify" vertical="center" wrapText="1"/>
    </xf>
    <xf numFmtId="166" fontId="54" fillId="0" borderId="22" xfId="0" applyNumberFormat="1" applyFont="1" applyFill="1" applyBorder="1" applyAlignment="1">
      <alignment horizontal="right" vertical="center" wrapText="1"/>
    </xf>
    <xf numFmtId="166" fontId="24" fillId="0" borderId="22" xfId="0" applyNumberFormat="1" applyFont="1" applyFill="1" applyBorder="1" applyAlignment="1">
      <alignment horizontal="right" vertical="center" wrapText="1"/>
    </xf>
    <xf numFmtId="166" fontId="55" fillId="0" borderId="22" xfId="0" applyNumberFormat="1" applyFont="1" applyFill="1" applyBorder="1" applyAlignment="1">
      <alignment horizontal="right" vertical="center" wrapText="1"/>
    </xf>
    <xf numFmtId="0" fontId="55" fillId="0" borderId="5" xfId="0" applyFont="1" applyFill="1" applyBorder="1"/>
    <xf numFmtId="0" fontId="59" fillId="0" borderId="22" xfId="0" applyFont="1" applyFill="1" applyBorder="1" applyAlignment="1">
      <alignment horizontal="justify" vertical="center" wrapText="1"/>
    </xf>
    <xf numFmtId="0" fontId="48" fillId="0" borderId="22"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54" fillId="0" borderId="1" xfId="0" applyFont="1" applyFill="1" applyBorder="1" applyAlignment="1">
      <alignment horizontal="justify" vertical="center" wrapText="1"/>
    </xf>
    <xf numFmtId="166" fontId="54" fillId="0" borderId="1" xfId="0" applyNumberFormat="1" applyFont="1" applyFill="1" applyBorder="1" applyAlignment="1">
      <alignment horizontal="right" vertical="center" wrapText="1"/>
    </xf>
    <xf numFmtId="0" fontId="91" fillId="0" borderId="0" xfId="0" applyFont="1" applyFill="1" applyAlignment="1">
      <alignment horizontal="center" vertical="center" wrapText="1"/>
    </xf>
    <xf numFmtId="166" fontId="32" fillId="0" borderId="7" xfId="0" applyNumberFormat="1" applyFont="1" applyFill="1" applyBorder="1" applyAlignment="1">
      <alignment horizontal="right" vertical="center" wrapText="1"/>
    </xf>
    <xf numFmtId="166" fontId="54" fillId="0" borderId="7" xfId="0" applyNumberFormat="1" applyFont="1" applyFill="1" applyBorder="1" applyAlignment="1">
      <alignment horizontal="right" vertical="center" wrapText="1"/>
    </xf>
    <xf numFmtId="3" fontId="13" fillId="0" borderId="23" xfId="1" applyNumberFormat="1" applyFont="1" applyBorder="1" applyAlignment="1">
      <alignment horizontal="center" vertical="center"/>
    </xf>
    <xf numFmtId="166" fontId="13" fillId="2" borderId="23" xfId="2" applyNumberFormat="1" applyFont="1" applyFill="1" applyBorder="1" applyAlignment="1">
      <alignment vertical="center" wrapText="1"/>
    </xf>
    <xf numFmtId="3" fontId="8" fillId="0" borderId="4" xfId="1" applyNumberFormat="1" applyFont="1" applyBorder="1" applyAlignment="1">
      <alignment horizontal="center" vertical="center"/>
    </xf>
    <xf numFmtId="3" fontId="8" fillId="0" borderId="4" xfId="1" applyNumberFormat="1" applyFont="1" applyBorder="1" applyAlignment="1">
      <alignment horizontal="justify" vertical="center" wrapText="1"/>
    </xf>
    <xf numFmtId="172" fontId="74" fillId="0" borderId="0" xfId="9" applyNumberFormat="1" applyFont="1" applyAlignment="1">
      <alignment vertical="center"/>
    </xf>
    <xf numFmtId="3" fontId="74" fillId="0" borderId="0" xfId="1" applyNumberFormat="1" applyFont="1" applyAlignment="1">
      <alignment vertical="center"/>
    </xf>
    <xf numFmtId="0" fontId="100" fillId="0" borderId="0" xfId="0" applyFont="1" applyFill="1"/>
    <xf numFmtId="0" fontId="74" fillId="0" borderId="7" xfId="0" applyFont="1" applyBorder="1" applyAlignment="1">
      <alignment horizontal="justify" vertical="center" wrapText="1"/>
    </xf>
    <xf numFmtId="0" fontId="53" fillId="0" borderId="7" xfId="0" applyFont="1" applyBorder="1" applyAlignment="1">
      <alignment horizontal="center" vertical="center" wrapText="1"/>
    </xf>
    <xf numFmtId="0" fontId="53" fillId="0" borderId="8" xfId="0" applyFont="1" applyBorder="1" applyAlignment="1">
      <alignment horizontal="center" vertical="center" wrapText="1"/>
    </xf>
    <xf numFmtId="175" fontId="74" fillId="0" borderId="0" xfId="9" applyNumberFormat="1" applyFont="1" applyFill="1" applyAlignment="1">
      <alignment horizontal="center" vertical="center" wrapText="1"/>
    </xf>
    <xf numFmtId="175" fontId="53" fillId="0" borderId="0" xfId="9" applyNumberFormat="1" applyFont="1" applyFill="1"/>
    <xf numFmtId="174" fontId="5" fillId="0" borderId="0" xfId="10" applyNumberFormat="1" applyFont="1"/>
    <xf numFmtId="183" fontId="13" fillId="0" borderId="9" xfId="10" applyNumberFormat="1" applyFont="1" applyBorder="1" applyAlignment="1">
      <alignment horizontal="right" vertical="center" wrapText="1"/>
    </xf>
    <xf numFmtId="183" fontId="13" fillId="0" borderId="7" xfId="10" applyNumberFormat="1" applyFont="1" applyBorder="1" applyAlignment="1">
      <alignment horizontal="right" vertical="center" wrapText="1"/>
    </xf>
    <xf numFmtId="183" fontId="13" fillId="0" borderId="17" xfId="10" applyNumberFormat="1" applyFont="1" applyBorder="1" applyAlignment="1">
      <alignment horizontal="right" vertical="center" wrapText="1"/>
    </xf>
    <xf numFmtId="172" fontId="44" fillId="0" borderId="0" xfId="9" applyNumberFormat="1" applyFont="1" applyFill="1"/>
    <xf numFmtId="166" fontId="44" fillId="0" borderId="0" xfId="0" applyNumberFormat="1" applyFont="1" applyFill="1"/>
    <xf numFmtId="0" fontId="50" fillId="0" borderId="0" xfId="0" applyFont="1" applyFill="1"/>
    <xf numFmtId="166" fontId="29" fillId="0" borderId="4" xfId="0" applyNumberFormat="1" applyFont="1" applyBorder="1" applyAlignment="1">
      <alignment horizontal="right" vertical="center" wrapText="1"/>
    </xf>
    <xf numFmtId="166" fontId="34" fillId="0" borderId="7" xfId="0" applyNumberFormat="1" applyFont="1" applyBorder="1" applyAlignment="1">
      <alignment horizontal="right" vertical="center" wrapText="1"/>
    </xf>
    <xf numFmtId="164" fontId="34" fillId="0" borderId="7" xfId="9" applyFont="1" applyBorder="1" applyAlignment="1">
      <alignment horizontal="right" vertical="center" wrapText="1"/>
    </xf>
    <xf numFmtId="166" fontId="34" fillId="0" borderId="8" xfId="0" applyNumberFormat="1" applyFont="1" applyBorder="1" applyAlignment="1">
      <alignment horizontal="right" vertical="center" wrapText="1"/>
    </xf>
    <xf numFmtId="166" fontId="34" fillId="0" borderId="22" xfId="0" applyNumberFormat="1" applyFont="1" applyBorder="1" applyAlignment="1">
      <alignment horizontal="right" vertical="center" wrapText="1"/>
    </xf>
    <xf numFmtId="166" fontId="34" fillId="0" borderId="9" xfId="0" applyNumberFormat="1" applyFont="1" applyBorder="1" applyAlignment="1">
      <alignment horizontal="right" vertical="center" wrapText="1"/>
    </xf>
    <xf numFmtId="166" fontId="34" fillId="0" borderId="17" xfId="0" applyNumberFormat="1" applyFont="1" applyBorder="1" applyAlignment="1">
      <alignment horizontal="right" vertical="center" wrapText="1"/>
    </xf>
    <xf numFmtId="174" fontId="47" fillId="0" borderId="0" xfId="10" applyNumberFormat="1" applyFont="1"/>
    <xf numFmtId="173" fontId="12" fillId="0" borderId="0" xfId="0" applyNumberFormat="1" applyFont="1"/>
    <xf numFmtId="0" fontId="110" fillId="0" borderId="0" xfId="0" applyFont="1" applyFill="1"/>
    <xf numFmtId="166" fontId="110" fillId="0" borderId="0" xfId="0" applyNumberFormat="1" applyFont="1" applyFill="1"/>
    <xf numFmtId="3" fontId="17" fillId="0" borderId="0" xfId="0" applyNumberFormat="1" applyFont="1" applyFill="1"/>
    <xf numFmtId="0" fontId="110" fillId="2" borderId="0" xfId="0" applyFont="1" applyFill="1" applyBorder="1"/>
    <xf numFmtId="0" fontId="53" fillId="0" borderId="0" xfId="0" applyFont="1" applyFill="1"/>
    <xf numFmtId="166" fontId="34" fillId="2" borderId="7" xfId="0" applyNumberFormat="1" applyFont="1" applyFill="1" applyBorder="1" applyAlignment="1">
      <alignment horizontal="right" vertical="center" wrapText="1"/>
    </xf>
    <xf numFmtId="166" fontId="53" fillId="2" borderId="0" xfId="0" applyNumberFormat="1" applyFont="1" applyFill="1"/>
    <xf numFmtId="0" fontId="53" fillId="0" borderId="0" xfId="0" applyFont="1" applyFill="1" applyAlignment="1"/>
    <xf numFmtId="166" fontId="110" fillId="2" borderId="0" xfId="0" applyNumberFormat="1" applyFont="1" applyFill="1"/>
    <xf numFmtId="166" fontId="34" fillId="2" borderId="9" xfId="0" applyNumberFormat="1" applyFont="1" applyFill="1" applyBorder="1" applyAlignment="1">
      <alignment horizontal="right" vertical="center" wrapText="1"/>
    </xf>
    <xf numFmtId="171" fontId="0" fillId="0" borderId="0" xfId="0" applyNumberFormat="1"/>
    <xf numFmtId="0" fontId="44" fillId="2" borderId="0" xfId="0" applyFont="1" applyFill="1" applyAlignment="1">
      <alignment vertical="center"/>
    </xf>
    <xf numFmtId="0" fontId="44" fillId="2" borderId="0" xfId="0" applyFont="1" applyFill="1" applyAlignment="1">
      <alignment horizontal="center" vertical="center"/>
    </xf>
    <xf numFmtId="0" fontId="44" fillId="0" borderId="1" xfId="0" applyFont="1" applyFill="1" applyBorder="1"/>
    <xf numFmtId="172" fontId="54" fillId="0" borderId="8" xfId="9" applyNumberFormat="1" applyFont="1" applyFill="1" applyBorder="1" applyAlignment="1">
      <alignment horizontal="right" vertical="center" wrapText="1"/>
    </xf>
    <xf numFmtId="4" fontId="69" fillId="0" borderId="7" xfId="9" applyNumberFormat="1" applyFont="1" applyBorder="1" applyAlignment="1">
      <alignment horizontal="right" vertical="center" wrapText="1"/>
    </xf>
    <xf numFmtId="175" fontId="12" fillId="0" borderId="0" xfId="0" applyNumberFormat="1" applyFont="1"/>
    <xf numFmtId="183" fontId="5" fillId="0" borderId="0" xfId="10" applyNumberFormat="1" applyFont="1"/>
    <xf numFmtId="183" fontId="0" fillId="2" borderId="0" xfId="10" applyNumberFormat="1" applyFont="1" applyFill="1"/>
    <xf numFmtId="0" fontId="39" fillId="0" borderId="8" xfId="0" applyFont="1" applyFill="1" applyBorder="1" applyAlignment="1">
      <alignment horizontal="center" vertical="center" wrapText="1"/>
    </xf>
    <xf numFmtId="166" fontId="39" fillId="0" borderId="8" xfId="0" applyNumberFormat="1" applyFont="1" applyFill="1" applyBorder="1" applyAlignment="1">
      <alignment horizontal="right" vertical="center" wrapText="1"/>
    </xf>
    <xf numFmtId="0" fontId="39" fillId="0" borderId="0" xfId="0" applyFont="1" applyFill="1"/>
    <xf numFmtId="166" fontId="39" fillId="0" borderId="7" xfId="0" applyNumberFormat="1" applyFont="1" applyFill="1" applyBorder="1" applyAlignment="1">
      <alignment horizontal="right" vertical="center" wrapText="1"/>
    </xf>
    <xf numFmtId="166" fontId="39" fillId="0" borderId="17" xfId="0" applyNumberFormat="1" applyFont="1" applyFill="1" applyBorder="1" applyAlignment="1">
      <alignment horizontal="right" vertical="center" wrapText="1"/>
    </xf>
    <xf numFmtId="166" fontId="39" fillId="0" borderId="9" xfId="0" applyNumberFormat="1" applyFont="1" applyFill="1" applyBorder="1" applyAlignment="1">
      <alignment horizontal="right" vertical="center" wrapText="1"/>
    </xf>
    <xf numFmtId="166" fontId="39" fillId="0" borderId="0" xfId="0" applyNumberFormat="1" applyFont="1" applyFill="1"/>
    <xf numFmtId="171" fontId="22" fillId="0" borderId="0" xfId="0" applyNumberFormat="1" applyFont="1"/>
    <xf numFmtId="172" fontId="53" fillId="0" borderId="0" xfId="9" applyNumberFormat="1" applyFont="1" applyFill="1"/>
    <xf numFmtId="0" fontId="60" fillId="0" borderId="0" xfId="0" applyFont="1" applyAlignment="1">
      <alignment horizontal="left"/>
    </xf>
    <xf numFmtId="0" fontId="63" fillId="0" borderId="1" xfId="0" applyFont="1" applyBorder="1" applyAlignment="1">
      <alignment horizontal="center" vertical="center" wrapText="1"/>
    </xf>
    <xf numFmtId="164" fontId="63" fillId="0" borderId="1" xfId="9" applyFont="1" applyFill="1" applyBorder="1" applyAlignment="1">
      <alignment horizontal="center" vertical="center" wrapText="1"/>
    </xf>
    <xf numFmtId="0" fontId="60" fillId="0" borderId="2" xfId="0" applyFont="1" applyBorder="1" applyAlignment="1">
      <alignment horizontal="center" vertical="center" wrapText="1"/>
    </xf>
    <xf numFmtId="0" fontId="60" fillId="0" borderId="2" xfId="0" applyFont="1" applyBorder="1" applyAlignment="1">
      <alignment vertical="center" wrapText="1"/>
    </xf>
    <xf numFmtId="166" fontId="38" fillId="0" borderId="2" xfId="0" applyNumberFormat="1" applyFont="1" applyBorder="1" applyAlignment="1">
      <alignment horizontal="right" vertical="center" wrapText="1"/>
    </xf>
    <xf numFmtId="172" fontId="38" fillId="0" borderId="2" xfId="9" applyNumberFormat="1" applyFont="1" applyFill="1" applyBorder="1" applyAlignment="1">
      <alignment horizontal="righ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wrapText="1"/>
    </xf>
    <xf numFmtId="166" fontId="38" fillId="0" borderId="1" xfId="0" applyNumberFormat="1" applyFont="1" applyBorder="1" applyAlignment="1">
      <alignment horizontal="right" vertical="center" wrapText="1"/>
    </xf>
    <xf numFmtId="172" fontId="38" fillId="0" borderId="1" xfId="9" applyNumberFormat="1" applyFont="1" applyBorder="1" applyAlignment="1">
      <alignment horizontal="right" vertical="center" wrapText="1"/>
    </xf>
    <xf numFmtId="172" fontId="38" fillId="0" borderId="1" xfId="9" applyNumberFormat="1" applyFont="1" applyFill="1" applyBorder="1" applyAlignment="1">
      <alignment horizontal="right" vertical="center" wrapText="1"/>
    </xf>
    <xf numFmtId="0" fontId="121" fillId="0" borderId="9" xfId="0" applyFont="1" applyBorder="1" applyAlignment="1">
      <alignment horizontal="center" vertical="center" wrapText="1"/>
    </xf>
    <xf numFmtId="0" fontId="121" fillId="0" borderId="9" xfId="0" applyFont="1" applyBorder="1" applyAlignment="1">
      <alignment horizontal="justify" vertical="center" wrapText="1"/>
    </xf>
    <xf numFmtId="166" fontId="121" fillId="0" borderId="9" xfId="0" applyNumberFormat="1" applyFont="1" applyBorder="1" applyAlignment="1">
      <alignment horizontal="right" vertical="center" wrapText="1"/>
    </xf>
    <xf numFmtId="172" fontId="121" fillId="0" borderId="9" xfId="9" applyNumberFormat="1" applyFont="1" applyFill="1" applyBorder="1" applyAlignment="1">
      <alignment horizontal="right" vertical="center" wrapText="1"/>
    </xf>
    <xf numFmtId="172" fontId="121" fillId="0" borderId="7" xfId="9" applyNumberFormat="1" applyFont="1" applyFill="1" applyBorder="1" applyAlignment="1">
      <alignment horizontal="right" vertical="center" wrapText="1"/>
    </xf>
    <xf numFmtId="0" fontId="121" fillId="0" borderId="17" xfId="0" applyFont="1" applyBorder="1" applyAlignment="1">
      <alignment horizontal="center" vertical="center" wrapText="1"/>
    </xf>
    <xf numFmtId="0" fontId="121" fillId="0" borderId="17" xfId="0" applyFont="1" applyBorder="1" applyAlignment="1">
      <alignment horizontal="justify" vertical="center" wrapText="1"/>
    </xf>
    <xf numFmtId="166" fontId="121" fillId="0" borderId="17" xfId="0" applyNumberFormat="1" applyFont="1" applyBorder="1" applyAlignment="1">
      <alignment horizontal="right" vertical="center" wrapText="1"/>
    </xf>
    <xf numFmtId="172" fontId="121" fillId="0" borderId="17" xfId="9" applyNumberFormat="1" applyFont="1" applyFill="1" applyBorder="1" applyAlignment="1">
      <alignment horizontal="right" vertical="center" wrapText="1"/>
    </xf>
    <xf numFmtId="0" fontId="38" fillId="0" borderId="1" xfId="0" applyFont="1" applyBorder="1" applyAlignment="1">
      <alignment horizontal="justify" vertical="center" wrapText="1"/>
    </xf>
    <xf numFmtId="0" fontId="39" fillId="0" borderId="9" xfId="0" applyFont="1" applyBorder="1" applyAlignment="1">
      <alignment horizontal="center" vertical="center" wrapText="1"/>
    </xf>
    <xf numFmtId="0" fontId="40" fillId="0" borderId="9" xfId="0" applyFont="1" applyBorder="1" applyAlignment="1">
      <alignment horizontal="justify" vertical="center" wrapText="1"/>
    </xf>
    <xf numFmtId="166" fontId="39" fillId="0" borderId="9" xfId="0" applyNumberFormat="1" applyFont="1" applyBorder="1" applyAlignment="1">
      <alignment horizontal="right" vertical="center" wrapText="1"/>
    </xf>
    <xf numFmtId="172" fontId="39" fillId="0" borderId="9" xfId="9" applyNumberFormat="1" applyFont="1" applyFill="1" applyBorder="1" applyAlignment="1">
      <alignment horizontal="right" vertical="center" wrapText="1"/>
    </xf>
    <xf numFmtId="0" fontId="39" fillId="0" borderId="17" xfId="0" applyFont="1" applyBorder="1" applyAlignment="1">
      <alignment horizontal="center" vertical="center" wrapText="1"/>
    </xf>
    <xf numFmtId="0" fontId="39" fillId="0" borderId="17" xfId="0" applyFont="1" applyBorder="1" applyAlignment="1">
      <alignment horizontal="justify" vertical="center" wrapText="1"/>
    </xf>
    <xf numFmtId="166" fontId="39" fillId="0" borderId="17" xfId="0" applyNumberFormat="1" applyFont="1" applyBorder="1" applyAlignment="1">
      <alignment horizontal="right" vertical="center" wrapText="1"/>
    </xf>
    <xf numFmtId="172" fontId="39" fillId="0" borderId="17" xfId="9" applyNumberFormat="1" applyFont="1" applyFill="1" applyBorder="1" applyAlignment="1">
      <alignment horizontal="right" vertical="center" wrapText="1"/>
    </xf>
    <xf numFmtId="166" fontId="39" fillId="0" borderId="7" xfId="0" applyNumberFormat="1" applyFont="1" applyBorder="1" applyAlignment="1">
      <alignment horizontal="right" vertical="center" wrapText="1"/>
    </xf>
    <xf numFmtId="172" fontId="39" fillId="0" borderId="7" xfId="9" applyNumberFormat="1" applyFont="1" applyBorder="1" applyAlignment="1">
      <alignment horizontal="right" vertical="center" wrapText="1"/>
    </xf>
    <xf numFmtId="172" fontId="39" fillId="0" borderId="7" xfId="9" applyNumberFormat="1" applyFont="1" applyFill="1" applyBorder="1" applyAlignment="1">
      <alignment horizontal="right" vertical="center" wrapText="1"/>
    </xf>
    <xf numFmtId="172" fontId="39" fillId="0" borderId="8" xfId="9" applyNumberFormat="1" applyFont="1" applyFill="1" applyBorder="1" applyAlignment="1">
      <alignment horizontal="right" vertical="center" wrapText="1"/>
    </xf>
    <xf numFmtId="0" fontId="39" fillId="0" borderId="3" xfId="0" applyFont="1" applyBorder="1" applyAlignment="1">
      <alignment horizontal="center" vertical="center" wrapText="1"/>
    </xf>
    <xf numFmtId="0" fontId="39" fillId="0" borderId="3" xfId="0" applyFont="1" applyBorder="1" applyAlignment="1">
      <alignment horizontal="justify" vertical="center" wrapText="1"/>
    </xf>
    <xf numFmtId="0" fontId="39" fillId="2" borderId="7" xfId="0" applyFont="1" applyFill="1" applyBorder="1" applyAlignment="1">
      <alignment horizontal="center" vertical="center" wrapText="1"/>
    </xf>
    <xf numFmtId="0" fontId="95" fillId="0" borderId="0" xfId="0" applyNumberFormat="1" applyFont="1" applyFill="1" applyBorder="1" applyAlignment="1" applyProtection="1">
      <alignment vertical="top"/>
    </xf>
    <xf numFmtId="172" fontId="5" fillId="0" borderId="0" xfId="0" applyNumberFormat="1" applyFont="1"/>
    <xf numFmtId="0" fontId="121" fillId="0" borderId="24" xfId="0" applyFont="1" applyFill="1" applyBorder="1" applyAlignment="1">
      <alignment horizontal="center" vertical="center" wrapText="1"/>
    </xf>
    <xf numFmtId="172" fontId="121" fillId="0" borderId="24" xfId="9" applyNumberFormat="1" applyFont="1" applyFill="1" applyBorder="1" applyAlignment="1">
      <alignment horizontal="right" vertical="center" wrapText="1"/>
    </xf>
    <xf numFmtId="183" fontId="104" fillId="0" borderId="0" xfId="10" applyNumberFormat="1" applyFont="1" applyFill="1"/>
    <xf numFmtId="0" fontId="104" fillId="0" borderId="0" xfId="0" applyFont="1" applyFill="1"/>
    <xf numFmtId="173" fontId="104" fillId="0" borderId="0" xfId="0" applyNumberFormat="1" applyFont="1" applyFill="1"/>
    <xf numFmtId="0" fontId="39" fillId="0" borderId="7" xfId="0" applyFont="1" applyFill="1" applyBorder="1" applyAlignment="1">
      <alignment horizontal="center" vertical="center" wrapText="1"/>
    </xf>
    <xf numFmtId="0" fontId="39" fillId="0" borderId="7" xfId="0" applyFont="1" applyFill="1" applyBorder="1" applyAlignment="1">
      <alignment horizontal="justify" vertical="center" wrapText="1"/>
    </xf>
    <xf numFmtId="1" fontId="39" fillId="0" borderId="7" xfId="0" applyNumberFormat="1" applyFont="1" applyFill="1" applyBorder="1" applyAlignment="1">
      <alignment horizontal="right" vertical="center" wrapText="1"/>
    </xf>
    <xf numFmtId="183" fontId="53" fillId="0" borderId="0" xfId="10" applyNumberFormat="1" applyFont="1" applyFill="1"/>
    <xf numFmtId="173" fontId="53" fillId="0" borderId="0" xfId="0" applyNumberFormat="1" applyFont="1" applyFill="1"/>
    <xf numFmtId="0" fontId="121" fillId="0" borderId="7" xfId="0" applyFont="1" applyFill="1" applyBorder="1" applyAlignment="1">
      <alignment horizontal="center" vertical="center" wrapText="1"/>
    </xf>
    <xf numFmtId="0" fontId="121" fillId="0" borderId="7" xfId="0" applyFont="1" applyFill="1" applyBorder="1" applyAlignment="1">
      <alignment horizontal="justify" vertical="center" wrapText="1"/>
    </xf>
    <xf numFmtId="166" fontId="121" fillId="0" borderId="7" xfId="0" applyNumberFormat="1" applyFont="1" applyFill="1" applyBorder="1" applyAlignment="1">
      <alignment horizontal="right" vertical="center" wrapText="1"/>
    </xf>
    <xf numFmtId="1" fontId="121" fillId="0" borderId="7" xfId="0" applyNumberFormat="1" applyFont="1" applyFill="1" applyBorder="1" applyAlignment="1">
      <alignment horizontal="right" vertical="center" wrapText="1"/>
    </xf>
    <xf numFmtId="166" fontId="40" fillId="0" borderId="7" xfId="0" applyNumberFormat="1" applyFont="1" applyFill="1" applyBorder="1" applyAlignment="1">
      <alignment horizontal="right" vertical="center" wrapText="1"/>
    </xf>
    <xf numFmtId="1" fontId="107" fillId="0" borderId="7" xfId="0" applyNumberFormat="1" applyFont="1" applyFill="1" applyBorder="1" applyAlignment="1">
      <alignment horizontal="right" vertical="center" wrapText="1"/>
    </xf>
    <xf numFmtId="173" fontId="98" fillId="0" borderId="0" xfId="0" applyNumberFormat="1" applyFont="1" applyFill="1"/>
    <xf numFmtId="1" fontId="6" fillId="0" borderId="7" xfId="0" applyNumberFormat="1" applyFont="1" applyFill="1" applyBorder="1" applyAlignment="1">
      <alignment horizontal="right" vertical="center" wrapText="1"/>
    </xf>
    <xf numFmtId="0" fontId="39" fillId="0" borderId="8" xfId="0" applyFont="1" applyFill="1" applyBorder="1" applyAlignment="1">
      <alignment horizontal="justify" vertical="center" wrapText="1"/>
    </xf>
    <xf numFmtId="1" fontId="6" fillId="0" borderId="8" xfId="0" applyNumberFormat="1" applyFont="1" applyFill="1" applyBorder="1" applyAlignment="1">
      <alignment horizontal="right" vertical="center" wrapText="1"/>
    </xf>
    <xf numFmtId="0" fontId="38" fillId="0" borderId="1" xfId="0" applyFont="1" applyFill="1" applyBorder="1" applyAlignment="1">
      <alignment horizontal="center" vertical="center" wrapText="1"/>
    </xf>
    <xf numFmtId="0" fontId="38" fillId="0" borderId="1" xfId="0" applyFont="1" applyFill="1" applyBorder="1" applyAlignment="1">
      <alignment horizontal="justify" vertical="center" wrapText="1"/>
    </xf>
    <xf numFmtId="171" fontId="104" fillId="0" borderId="0" xfId="0" applyNumberFormat="1" applyFont="1" applyFill="1"/>
    <xf numFmtId="174" fontId="104" fillId="0" borderId="0" xfId="10" applyNumberFormat="1" applyFont="1" applyFill="1"/>
    <xf numFmtId="174" fontId="53" fillId="0" borderId="0" xfId="10" applyNumberFormat="1" applyFont="1" applyFill="1"/>
    <xf numFmtId="174" fontId="98" fillId="0" borderId="0" xfId="10" applyNumberFormat="1" applyFont="1" applyFill="1"/>
    <xf numFmtId="174" fontId="5" fillId="0" borderId="0" xfId="10" applyNumberFormat="1" applyFont="1" applyFill="1"/>
    <xf numFmtId="174" fontId="47" fillId="0" borderId="0" xfId="10" applyNumberFormat="1" applyFont="1" applyFill="1"/>
    <xf numFmtId="186" fontId="104" fillId="0" borderId="0" xfId="0" applyNumberFormat="1" applyFont="1" applyFill="1"/>
    <xf numFmtId="172" fontId="39" fillId="0" borderId="3" xfId="9" applyNumberFormat="1" applyFont="1" applyFill="1" applyBorder="1" applyAlignment="1">
      <alignment horizontal="right" vertical="center" wrapText="1"/>
    </xf>
    <xf numFmtId="0" fontId="121" fillId="0" borderId="24" xfId="0" applyFont="1" applyFill="1" applyBorder="1" applyAlignment="1">
      <alignment horizontal="justify" vertical="center" wrapText="1"/>
    </xf>
    <xf numFmtId="166" fontId="60" fillId="0" borderId="17" xfId="0" applyNumberFormat="1" applyFont="1" applyBorder="1" applyAlignment="1">
      <alignment horizontal="right" vertical="center" wrapText="1"/>
    </xf>
    <xf numFmtId="0" fontId="39" fillId="2" borderId="0" xfId="0" applyFont="1" applyFill="1" applyAlignment="1"/>
    <xf numFmtId="0" fontId="39" fillId="2" borderId="0" xfId="0" applyFont="1" applyFill="1" applyBorder="1"/>
    <xf numFmtId="0" fontId="39" fillId="2" borderId="0" xfId="0" applyFont="1" applyFill="1" applyAlignment="1">
      <alignment horizontal="justify"/>
    </xf>
    <xf numFmtId="0" fontId="38" fillId="2" borderId="1" xfId="0" applyFont="1" applyFill="1" applyBorder="1" applyAlignment="1">
      <alignment horizontal="justify" vertical="center" wrapText="1"/>
    </xf>
    <xf numFmtId="0" fontId="38" fillId="2" borderId="2" xfId="0" applyFont="1" applyFill="1" applyBorder="1" applyAlignment="1">
      <alignment horizontal="justify" vertical="center" wrapText="1"/>
    </xf>
    <xf numFmtId="0" fontId="38" fillId="2" borderId="2"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8" fillId="2" borderId="0" xfId="0" applyFont="1" applyFill="1"/>
    <xf numFmtId="0" fontId="39" fillId="2" borderId="0" xfId="0" applyFont="1" applyFill="1" applyBorder="1" applyAlignment="1">
      <alignment horizontal="justify"/>
    </xf>
    <xf numFmtId="3" fontId="39" fillId="2" borderId="7" xfId="0" applyNumberFormat="1" applyFont="1" applyFill="1" applyBorder="1" applyAlignment="1">
      <alignment horizontal="right" vertical="center" wrapText="1"/>
    </xf>
    <xf numFmtId="174" fontId="39" fillId="2" borderId="7" xfId="10" applyNumberFormat="1" applyFont="1" applyFill="1" applyBorder="1" applyAlignment="1">
      <alignment horizontal="right" vertical="center" wrapText="1"/>
    </xf>
    <xf numFmtId="3" fontId="38" fillId="2" borderId="1" xfId="0" applyNumberFormat="1" applyFont="1" applyFill="1" applyBorder="1" applyAlignment="1">
      <alignment horizontal="right" vertical="center" wrapText="1"/>
    </xf>
    <xf numFmtId="166" fontId="53" fillId="0" borderId="0" xfId="0" applyNumberFormat="1" applyFont="1" applyFill="1"/>
    <xf numFmtId="0" fontId="38" fillId="0" borderId="7" xfId="0" applyFont="1" applyFill="1" applyBorder="1" applyAlignment="1">
      <alignment horizontal="justify" vertical="center" wrapText="1"/>
    </xf>
    <xf numFmtId="4" fontId="48" fillId="0" borderId="1" xfId="0" applyNumberFormat="1" applyFont="1" applyBorder="1" applyAlignment="1">
      <alignment horizontal="right" vertical="center" wrapText="1"/>
    </xf>
    <xf numFmtId="0" fontId="17" fillId="0" borderId="0" xfId="0" applyFont="1" applyFill="1" applyAlignment="1">
      <alignment horizontal="left"/>
    </xf>
    <xf numFmtId="0" fontId="95" fillId="0" borderId="0" xfId="0" applyFont="1" applyFill="1" applyAlignment="1">
      <alignment horizontal="left"/>
    </xf>
    <xf numFmtId="168" fontId="95" fillId="0" borderId="0" xfId="0" applyNumberFormat="1" applyFont="1" applyFill="1"/>
    <xf numFmtId="171" fontId="95" fillId="0" borderId="0" xfId="0" applyNumberFormat="1" applyFont="1" applyFill="1"/>
    <xf numFmtId="171" fontId="56" fillId="0" borderId="0" xfId="0" applyNumberFormat="1" applyFont="1" applyFill="1"/>
    <xf numFmtId="3" fontId="53" fillId="0" borderId="0" xfId="0" applyNumberFormat="1" applyFont="1" applyFill="1"/>
    <xf numFmtId="0" fontId="8" fillId="0" borderId="0" xfId="0" applyFont="1" applyFill="1" applyAlignment="1">
      <alignment horizontal="right" vertical="center"/>
    </xf>
    <xf numFmtId="0" fontId="62" fillId="0" borderId="1" xfId="0" applyFont="1" applyFill="1" applyBorder="1" applyAlignment="1">
      <alignment horizontal="center" vertical="center" wrapText="1"/>
    </xf>
    <xf numFmtId="0" fontId="95" fillId="0" borderId="8" xfId="0" quotePrefix="1" applyFont="1" applyFill="1" applyBorder="1" applyAlignment="1">
      <alignment horizontal="center" vertical="center" wrapText="1"/>
    </xf>
    <xf numFmtId="0" fontId="95" fillId="0" borderId="8" xfId="0" applyNumberFormat="1" applyFont="1" applyFill="1" applyBorder="1" applyAlignment="1">
      <alignment horizontal="justify" vertical="center" wrapText="1"/>
    </xf>
    <xf numFmtId="168" fontId="95" fillId="0" borderId="8" xfId="10" applyNumberFormat="1" applyFont="1" applyFill="1" applyBorder="1" applyAlignment="1">
      <alignment horizontal="center" vertical="center" wrapText="1"/>
    </xf>
    <xf numFmtId="168" fontId="95" fillId="0" borderId="8" xfId="0" applyNumberFormat="1" applyFont="1" applyFill="1" applyBorder="1" applyAlignment="1">
      <alignment horizontal="center" vertical="center" wrapText="1"/>
    </xf>
    <xf numFmtId="0" fontId="95" fillId="0" borderId="0" xfId="0" applyFont="1" applyFill="1" applyAlignment="1">
      <alignment vertical="center"/>
    </xf>
    <xf numFmtId="173" fontId="95" fillId="0" borderId="0" xfId="0" applyNumberFormat="1" applyFont="1" applyFill="1" applyAlignment="1">
      <alignment vertical="center"/>
    </xf>
    <xf numFmtId="0" fontId="95" fillId="2" borderId="6" xfId="0" quotePrefix="1" applyFont="1" applyFill="1" applyBorder="1" applyAlignment="1">
      <alignment horizontal="center" vertical="center"/>
    </xf>
    <xf numFmtId="168" fontId="95" fillId="0" borderId="6" xfId="10" applyNumberFormat="1" applyFont="1" applyFill="1" applyBorder="1" applyAlignment="1">
      <alignment horizontal="center" vertical="center" wrapText="1"/>
    </xf>
    <xf numFmtId="168" fontId="95" fillId="0" borderId="6" xfId="0" applyNumberFormat="1" applyFont="1" applyFill="1" applyBorder="1" applyAlignment="1">
      <alignment horizontal="center" vertical="center" wrapText="1"/>
    </xf>
    <xf numFmtId="0" fontId="95" fillId="0" borderId="7" xfId="0" quotePrefix="1" applyFont="1" applyFill="1" applyBorder="1" applyAlignment="1">
      <alignment horizontal="center" vertical="center"/>
    </xf>
    <xf numFmtId="0" fontId="95" fillId="0" borderId="7" xfId="0" applyNumberFormat="1" applyFont="1" applyFill="1" applyBorder="1" applyAlignment="1">
      <alignment horizontal="justify" vertical="center" wrapText="1"/>
    </xf>
    <xf numFmtId="168" fontId="95" fillId="0" borderId="7" xfId="10" applyNumberFormat="1" applyFont="1" applyFill="1" applyBorder="1" applyAlignment="1">
      <alignment horizontal="center" vertical="center" wrapText="1"/>
    </xf>
    <xf numFmtId="168" fontId="95" fillId="0" borderId="7" xfId="0" applyNumberFormat="1" applyFont="1" applyFill="1" applyBorder="1" applyAlignment="1">
      <alignment horizontal="center" vertical="center" wrapText="1"/>
    </xf>
    <xf numFmtId="0" fontId="95" fillId="2" borderId="7" xfId="0" quotePrefix="1" applyFont="1" applyFill="1" applyBorder="1" applyAlignment="1">
      <alignment horizontal="center" vertical="center"/>
    </xf>
    <xf numFmtId="0" fontId="95" fillId="2" borderId="7" xfId="0" applyNumberFormat="1" applyFont="1" applyFill="1" applyBorder="1" applyAlignment="1">
      <alignment horizontal="justify" vertical="center" wrapText="1"/>
    </xf>
    <xf numFmtId="0" fontId="95" fillId="2" borderId="6" xfId="0" quotePrefix="1" applyFont="1" applyFill="1" applyBorder="1" applyAlignment="1">
      <alignment horizontal="center" vertical="center" wrapText="1"/>
    </xf>
    <xf numFmtId="169" fontId="95" fillId="2" borderId="6" xfId="12" quotePrefix="1" applyNumberFormat="1" applyFont="1" applyFill="1" applyBorder="1" applyAlignment="1">
      <alignment horizontal="justify" vertical="center" wrapText="1"/>
    </xf>
    <xf numFmtId="164" fontId="95" fillId="0" borderId="7" xfId="9" applyFont="1" applyFill="1" applyBorder="1" applyAlignment="1">
      <alignment horizontal="right" vertical="center" wrapText="1"/>
    </xf>
    <xf numFmtId="0" fontId="95" fillId="2" borderId="8" xfId="0" quotePrefix="1" applyFont="1" applyFill="1" applyBorder="1" applyAlignment="1">
      <alignment horizontal="center" vertical="center" wrapText="1"/>
    </xf>
    <xf numFmtId="0" fontId="95" fillId="2" borderId="8" xfId="0" applyNumberFormat="1" applyFont="1" applyFill="1" applyBorder="1" applyAlignment="1">
      <alignment horizontal="justify" vertical="center" wrapText="1"/>
    </xf>
    <xf numFmtId="164" fontId="95" fillId="0" borderId="8" xfId="9" applyFont="1" applyFill="1" applyBorder="1" applyAlignment="1">
      <alignment horizontal="right" vertical="center" wrapText="1"/>
    </xf>
    <xf numFmtId="0" fontId="95" fillId="0" borderId="1" xfId="0" applyFont="1" applyFill="1" applyBorder="1" applyAlignment="1">
      <alignment horizontal="center" vertical="center" wrapText="1"/>
    </xf>
    <xf numFmtId="3" fontId="95" fillId="0" borderId="1" xfId="0" applyNumberFormat="1" applyFont="1" applyFill="1" applyBorder="1" applyAlignment="1">
      <alignment horizontal="center" vertical="center" wrapText="1"/>
    </xf>
    <xf numFmtId="0" fontId="95" fillId="0" borderId="0" xfId="0" applyFont="1" applyFill="1"/>
    <xf numFmtId="9" fontId="95" fillId="0" borderId="6" xfId="64" applyFont="1" applyFill="1" applyBorder="1" applyAlignment="1">
      <alignment horizontal="right" vertical="center" wrapText="1"/>
    </xf>
    <xf numFmtId="9" fontId="95" fillId="0" borderId="7" xfId="64" applyFont="1" applyFill="1" applyBorder="1" applyAlignment="1">
      <alignment horizontal="right" vertical="center" wrapText="1"/>
    </xf>
    <xf numFmtId="0" fontId="63" fillId="0" borderId="22" xfId="0" applyFont="1" applyFill="1" applyBorder="1" applyAlignment="1">
      <alignment horizontal="center" vertical="center" wrapText="1"/>
    </xf>
    <xf numFmtId="0" fontId="63" fillId="0" borderId="22" xfId="0" applyNumberFormat="1" applyFont="1" applyFill="1" applyBorder="1" applyAlignment="1">
      <alignment horizontal="justify" vertical="center" wrapText="1"/>
    </xf>
    <xf numFmtId="168" fontId="63" fillId="0" borderId="22" xfId="10" applyNumberFormat="1" applyFont="1" applyFill="1" applyBorder="1" applyAlignment="1">
      <alignment horizontal="center" vertical="center" wrapText="1"/>
    </xf>
    <xf numFmtId="0" fontId="63" fillId="0" borderId="0" xfId="0" applyFont="1" applyFill="1" applyAlignment="1">
      <alignment vertical="center"/>
    </xf>
    <xf numFmtId="0" fontId="63" fillId="0" borderId="1" xfId="0" applyFont="1" applyFill="1" applyBorder="1" applyAlignment="1">
      <alignment horizontal="center" vertical="center" wrapText="1"/>
    </xf>
    <xf numFmtId="167" fontId="63" fillId="0" borderId="1" xfId="0" applyNumberFormat="1" applyFont="1" applyFill="1" applyBorder="1" applyAlignment="1">
      <alignment horizontal="justify" vertical="center" wrapText="1"/>
    </xf>
    <xf numFmtId="168" fontId="63" fillId="0" borderId="1" xfId="0" applyNumberFormat="1" applyFont="1" applyFill="1" applyBorder="1" applyAlignment="1">
      <alignment horizontal="center" vertical="center" wrapText="1"/>
    </xf>
    <xf numFmtId="9" fontId="63" fillId="0" borderId="1" xfId="64" applyFont="1" applyFill="1" applyBorder="1" applyAlignment="1">
      <alignment horizontal="right" vertical="center" wrapText="1"/>
    </xf>
    <xf numFmtId="168" fontId="95" fillId="0" borderId="0" xfId="0" applyNumberFormat="1" applyFont="1" applyFill="1" applyAlignment="1">
      <alignment vertical="center"/>
    </xf>
    <xf numFmtId="0" fontId="63"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173" fontId="17" fillId="0" borderId="0" xfId="0" applyNumberFormat="1" applyFont="1" applyFill="1"/>
    <xf numFmtId="187" fontId="95" fillId="0" borderId="0" xfId="0" applyNumberFormat="1" applyFont="1" applyFill="1" applyAlignment="1">
      <alignment vertical="center"/>
    </xf>
    <xf numFmtId="0" fontId="44" fillId="0" borderId="1" xfId="0" applyFont="1" applyFill="1" applyBorder="1" applyAlignment="1">
      <alignment horizontal="right"/>
    </xf>
    <xf numFmtId="0" fontId="109" fillId="0" borderId="1" xfId="0" applyFont="1" applyFill="1" applyBorder="1"/>
    <xf numFmtId="0" fontId="9" fillId="0" borderId="0" xfId="0" applyFont="1" applyFill="1" applyBorder="1" applyAlignment="1">
      <alignment vertical="center" wrapText="1"/>
    </xf>
    <xf numFmtId="172" fontId="44" fillId="0" borderId="0" xfId="9" applyNumberFormat="1" applyFont="1" applyFill="1" applyAlignment="1">
      <alignment vertical="center"/>
    </xf>
    <xf numFmtId="0" fontId="44" fillId="0" borderId="0" xfId="0" applyFont="1" applyFill="1" applyAlignment="1">
      <alignment vertical="center"/>
    </xf>
    <xf numFmtId="166" fontId="44" fillId="0" borderId="0" xfId="0" applyNumberFormat="1" applyFont="1" applyFill="1" applyAlignment="1">
      <alignment vertical="center"/>
    </xf>
    <xf numFmtId="0" fontId="9" fillId="0" borderId="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44" fillId="0" borderId="4" xfId="0" applyFont="1" applyFill="1" applyBorder="1"/>
    <xf numFmtId="0" fontId="44" fillId="0" borderId="4" xfId="0" applyFont="1" applyFill="1" applyBorder="1" applyAlignment="1">
      <alignment horizontal="right"/>
    </xf>
    <xf numFmtId="0" fontId="38" fillId="2" borderId="0" xfId="0" applyFont="1" applyFill="1" applyAlignment="1">
      <alignment horizontal="left" vertical="center"/>
    </xf>
    <xf numFmtId="173" fontId="44" fillId="0" borderId="0" xfId="0" applyNumberFormat="1" applyFont="1" applyFill="1"/>
    <xf numFmtId="0" fontId="38" fillId="2" borderId="1" xfId="0" applyFont="1" applyFill="1" applyBorder="1" applyAlignment="1">
      <alignment horizontal="center" vertical="center" wrapText="1"/>
    </xf>
    <xf numFmtId="0" fontId="39" fillId="2" borderId="17" xfId="0" applyFont="1" applyFill="1" applyBorder="1" applyAlignment="1">
      <alignment horizontal="center" vertical="center" wrapText="1"/>
    </xf>
    <xf numFmtId="166" fontId="54" fillId="0" borderId="6" xfId="9" applyNumberFormat="1" applyFont="1" applyBorder="1" applyAlignment="1">
      <alignment horizontal="right" vertical="center" wrapText="1"/>
    </xf>
    <xf numFmtId="166" fontId="54" fillId="0" borderId="7" xfId="9" applyNumberFormat="1" applyFont="1" applyBorder="1" applyAlignment="1">
      <alignment horizontal="right" vertical="center" wrapText="1"/>
    </xf>
    <xf numFmtId="166" fontId="61" fillId="0" borderId="7" xfId="9" applyNumberFormat="1" applyFont="1" applyBorder="1" applyAlignment="1">
      <alignment horizontal="right" vertical="center" wrapText="1"/>
    </xf>
    <xf numFmtId="166" fontId="6" fillId="0" borderId="7" xfId="9" applyNumberFormat="1" applyFont="1" applyBorder="1" applyAlignment="1">
      <alignment horizontal="right" vertical="center" wrapText="1"/>
    </xf>
    <xf numFmtId="166" fontId="54" fillId="0" borderId="8" xfId="9" applyNumberFormat="1" applyFont="1" applyFill="1" applyBorder="1" applyAlignment="1">
      <alignment horizontal="right" vertical="center" wrapText="1"/>
    </xf>
    <xf numFmtId="166" fontId="24" fillId="0" borderId="7" xfId="9" applyNumberFormat="1" applyFont="1" applyBorder="1" applyAlignment="1">
      <alignment horizontal="right" vertical="center" wrapText="1"/>
    </xf>
    <xf numFmtId="172" fontId="24" fillId="0" borderId="7" xfId="9" applyNumberFormat="1" applyFont="1" applyBorder="1" applyAlignment="1">
      <alignment horizontal="right" vertical="center" wrapText="1"/>
    </xf>
    <xf numFmtId="4" fontId="24" fillId="0" borderId="7" xfId="9" applyNumberFormat="1" applyFont="1" applyBorder="1" applyAlignment="1">
      <alignment horizontal="right" vertical="center" wrapText="1"/>
    </xf>
    <xf numFmtId="166" fontId="38" fillId="0" borderId="6" xfId="0" applyNumberFormat="1" applyFont="1" applyBorder="1" applyAlignment="1">
      <alignment horizontal="right" vertical="center" wrapText="1"/>
    </xf>
    <xf numFmtId="4" fontId="39" fillId="0" borderId="7" xfId="9" applyNumberFormat="1" applyFont="1" applyBorder="1" applyAlignment="1">
      <alignment horizontal="right" vertical="center" wrapText="1"/>
    </xf>
    <xf numFmtId="172" fontId="38" fillId="0" borderId="7" xfId="9" applyNumberFormat="1" applyFont="1" applyBorder="1" applyAlignment="1">
      <alignment horizontal="right" vertical="center" wrapText="1"/>
    </xf>
    <xf numFmtId="0" fontId="39" fillId="0" borderId="1" xfId="0" applyFont="1" applyBorder="1" applyAlignment="1">
      <alignment horizontal="center" vertical="center" wrapText="1"/>
    </xf>
    <xf numFmtId="166" fontId="38" fillId="0" borderId="7" xfId="0" applyNumberFormat="1" applyFont="1" applyBorder="1" applyAlignment="1">
      <alignment horizontal="right" vertical="center" wrapText="1"/>
    </xf>
    <xf numFmtId="3" fontId="39" fillId="0" borderId="7" xfId="0" applyNumberFormat="1" applyFont="1" applyBorder="1" applyAlignment="1">
      <alignment horizontal="right" vertical="center" wrapText="1"/>
    </xf>
    <xf numFmtId="3" fontId="38" fillId="0" borderId="7" xfId="0" applyNumberFormat="1" applyFont="1" applyBorder="1" applyAlignment="1">
      <alignment horizontal="right" vertical="center" wrapText="1"/>
    </xf>
    <xf numFmtId="164" fontId="38" fillId="0" borderId="7" xfId="9" applyFont="1" applyBorder="1" applyAlignment="1">
      <alignment horizontal="right" vertical="center" wrapText="1"/>
    </xf>
    <xf numFmtId="166" fontId="54" fillId="0" borderId="7" xfId="9" applyNumberFormat="1" applyFont="1" applyFill="1" applyBorder="1" applyAlignment="1">
      <alignment horizontal="right" vertical="center" wrapText="1"/>
    </xf>
    <xf numFmtId="172" fontId="54" fillId="0" borderId="7" xfId="9" applyNumberFormat="1" applyFont="1" applyFill="1" applyBorder="1" applyAlignment="1">
      <alignment horizontal="right" vertical="center" wrapText="1"/>
    </xf>
    <xf numFmtId="166" fontId="54" fillId="0" borderId="8" xfId="0" applyNumberFormat="1" applyFont="1" applyFill="1" applyBorder="1" applyAlignment="1">
      <alignment horizontal="right" vertical="center" wrapText="1"/>
    </xf>
    <xf numFmtId="166" fontId="124" fillId="0" borderId="7" xfId="0" applyNumberFormat="1" applyFont="1" applyBorder="1" applyAlignment="1">
      <alignment horizontal="right" vertical="center" wrapText="1"/>
    </xf>
    <xf numFmtId="166" fontId="33" fillId="0" borderId="7" xfId="0" applyNumberFormat="1" applyFont="1" applyBorder="1" applyAlignment="1">
      <alignment horizontal="right" vertical="center" wrapText="1"/>
    </xf>
    <xf numFmtId="172" fontId="33" fillId="0" borderId="7" xfId="9" applyNumberFormat="1" applyFont="1" applyBorder="1" applyAlignment="1">
      <alignment horizontal="right" vertical="center" wrapText="1"/>
    </xf>
    <xf numFmtId="2" fontId="107" fillId="0" borderId="7" xfId="0" applyNumberFormat="1" applyFont="1" applyBorder="1" applyAlignment="1">
      <alignment horizontal="right" vertical="center" wrapText="1"/>
    </xf>
    <xf numFmtId="0" fontId="123" fillId="0" borderId="0" xfId="0" applyFont="1"/>
    <xf numFmtId="0" fontId="38" fillId="2" borderId="23" xfId="0" applyFont="1" applyFill="1" applyBorder="1" applyAlignment="1">
      <alignment horizontal="center" vertical="center" wrapText="1"/>
    </xf>
    <xf numFmtId="0" fontId="40" fillId="2" borderId="0" xfId="0" applyFont="1" applyFill="1" applyAlignment="1">
      <alignment horizontal="right" vertical="center"/>
    </xf>
    <xf numFmtId="0" fontId="7"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9" fillId="2" borderId="6" xfId="0" applyFont="1" applyFill="1" applyBorder="1" applyAlignment="1">
      <alignment horizontal="center" vertical="center" wrapText="1"/>
    </xf>
    <xf numFmtId="174" fontId="39" fillId="2" borderId="6" xfId="10" applyNumberFormat="1" applyFont="1" applyFill="1" applyBorder="1" applyAlignment="1">
      <alignment horizontal="right" vertical="center" wrapText="1"/>
    </xf>
    <xf numFmtId="0" fontId="39" fillId="2" borderId="8" xfId="0" applyFont="1" applyFill="1" applyBorder="1" applyAlignment="1">
      <alignment horizontal="center" vertical="center" wrapText="1"/>
    </xf>
    <xf numFmtId="3" fontId="39" fillId="2" borderId="8" xfId="0" applyNumberFormat="1" applyFont="1" applyFill="1" applyBorder="1" applyAlignment="1">
      <alignment horizontal="right" vertical="center" wrapText="1"/>
    </xf>
    <xf numFmtId="0" fontId="39" fillId="2" borderId="4" xfId="0" applyFont="1" applyFill="1" applyBorder="1" applyAlignment="1">
      <alignment horizontal="center" vertical="center" wrapText="1"/>
    </xf>
    <xf numFmtId="174" fontId="39" fillId="2" borderId="8" xfId="10" applyNumberFormat="1" applyFont="1" applyFill="1" applyBorder="1" applyAlignment="1">
      <alignment horizontal="right" vertical="center" wrapText="1"/>
    </xf>
    <xf numFmtId="3" fontId="39" fillId="2" borderId="6" xfId="0" applyNumberFormat="1" applyFont="1" applyFill="1" applyBorder="1" applyAlignment="1">
      <alignment horizontal="right" vertical="center" wrapText="1"/>
    </xf>
    <xf numFmtId="0" fontId="39" fillId="2" borderId="9" xfId="0" applyFont="1" applyFill="1" applyBorder="1" applyAlignment="1">
      <alignment horizontal="center"/>
    </xf>
    <xf numFmtId="174" fontId="39" fillId="25" borderId="9" xfId="10" applyNumberFormat="1" applyFont="1" applyFill="1" applyBorder="1" applyAlignment="1" applyProtection="1">
      <alignment horizontal="right" vertical="center" wrapText="1" shrinkToFit="1"/>
      <protection locked="0"/>
    </xf>
    <xf numFmtId="0" fontId="39" fillId="25" borderId="7" xfId="0" applyFont="1" applyFill="1" applyBorder="1" applyAlignment="1" applyProtection="1">
      <alignment horizontal="center" vertical="center" wrapText="1" shrinkToFit="1"/>
      <protection locked="0"/>
    </xf>
    <xf numFmtId="174" fontId="39" fillId="25" borderId="7" xfId="10" applyNumberFormat="1" applyFont="1" applyFill="1" applyBorder="1" applyAlignment="1" applyProtection="1">
      <alignment horizontal="right" vertical="center" wrapText="1" shrinkToFit="1"/>
      <protection locked="0"/>
    </xf>
    <xf numFmtId="0" fontId="39" fillId="25" borderId="8" xfId="0" applyFont="1" applyFill="1" applyBorder="1" applyAlignment="1" applyProtection="1">
      <alignment horizontal="center" vertical="center" wrapText="1" shrinkToFit="1"/>
      <protection locked="0"/>
    </xf>
    <xf numFmtId="0" fontId="39" fillId="2" borderId="1" xfId="81" applyFont="1" applyFill="1" applyBorder="1" applyAlignment="1">
      <alignment horizontal="center" vertical="center" wrapText="1"/>
    </xf>
    <xf numFmtId="0" fontId="39" fillId="2" borderId="1" xfId="81" quotePrefix="1" applyFont="1" applyFill="1" applyBorder="1" applyAlignment="1">
      <alignment horizontal="center" vertical="center" wrapText="1"/>
    </xf>
    <xf numFmtId="0" fontId="39" fillId="2" borderId="6" xfId="81" applyFont="1" applyFill="1" applyBorder="1" applyAlignment="1">
      <alignment horizontal="center" vertical="center" wrapText="1"/>
    </xf>
    <xf numFmtId="0" fontId="39" fillId="2" borderId="7" xfId="81" applyFont="1" applyFill="1" applyBorder="1" applyAlignment="1">
      <alignment horizontal="center" vertical="center" wrapText="1"/>
    </xf>
    <xf numFmtId="0" fontId="39" fillId="2" borderId="8" xfId="81" applyFont="1" applyFill="1" applyBorder="1" applyAlignment="1">
      <alignment horizontal="center" vertical="center" wrapText="1"/>
    </xf>
    <xf numFmtId="0" fontId="39" fillId="2" borderId="6" xfId="81" quotePrefix="1" applyFont="1" applyFill="1" applyBorder="1" applyAlignment="1">
      <alignment horizontal="center" vertical="center" wrapText="1"/>
    </xf>
    <xf numFmtId="0" fontId="39" fillId="2" borderId="8" xfId="81" quotePrefix="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40"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60" fillId="2" borderId="0" xfId="0" applyFont="1" applyFill="1"/>
    <xf numFmtId="172" fontId="53" fillId="2" borderId="0" xfId="9" applyNumberFormat="1" applyFont="1" applyFill="1"/>
    <xf numFmtId="0" fontId="7" fillId="2" borderId="0" xfId="0" applyFont="1" applyFill="1" applyAlignment="1">
      <alignment horizontal="right" vertical="center"/>
    </xf>
    <xf numFmtId="0" fontId="53" fillId="2" borderId="0" xfId="0" applyFont="1" applyFill="1" applyAlignment="1">
      <alignment vertical="center"/>
    </xf>
    <xf numFmtId="0" fontId="94" fillId="2" borderId="0" xfId="0" applyFont="1" applyFill="1" applyAlignment="1">
      <alignment horizontal="center" vertical="center" wrapText="1"/>
    </xf>
    <xf numFmtId="172" fontId="94" fillId="2" borderId="0" xfId="9" applyNumberFormat="1" applyFont="1" applyFill="1" applyAlignment="1">
      <alignment horizontal="center" vertical="center" wrapText="1"/>
    </xf>
    <xf numFmtId="0" fontId="8" fillId="2" borderId="0" xfId="0" applyFont="1" applyFill="1" applyAlignment="1">
      <alignment horizontal="right" vertical="center"/>
    </xf>
    <xf numFmtId="172" fontId="38" fillId="2" borderId="1" xfId="9" applyNumberFormat="1" applyFont="1" applyFill="1" applyBorder="1" applyAlignment="1">
      <alignment horizontal="center" vertical="center" wrapText="1"/>
    </xf>
    <xf numFmtId="166" fontId="38" fillId="2" borderId="2" xfId="0" applyNumberFormat="1" applyFont="1" applyFill="1" applyBorder="1" applyAlignment="1">
      <alignment horizontal="right" vertical="center" wrapText="1"/>
    </xf>
    <xf numFmtId="166" fontId="39" fillId="2" borderId="0" xfId="0" applyNumberFormat="1" applyFont="1" applyFill="1"/>
    <xf numFmtId="0" fontId="38" fillId="2" borderId="1" xfId="0" applyFont="1" applyFill="1" applyBorder="1" applyAlignment="1">
      <alignment horizontal="center" vertical="center"/>
    </xf>
    <xf numFmtId="167" fontId="38" fillId="2" borderId="1" xfId="0" applyNumberFormat="1" applyFont="1" applyFill="1" applyBorder="1" applyAlignment="1">
      <alignment horizontal="justify" vertical="center" wrapText="1"/>
    </xf>
    <xf numFmtId="166" fontId="38" fillId="2" borderId="1" xfId="0" applyNumberFormat="1" applyFont="1" applyFill="1" applyBorder="1" applyAlignment="1">
      <alignment horizontal="right" vertical="center" wrapText="1"/>
    </xf>
    <xf numFmtId="0" fontId="39" fillId="2" borderId="9" xfId="0" quotePrefix="1" applyFont="1" applyFill="1" applyBorder="1" applyAlignment="1">
      <alignment horizontal="center" vertical="center"/>
    </xf>
    <xf numFmtId="0" fontId="39" fillId="2" borderId="7" xfId="0" applyNumberFormat="1" applyFont="1" applyFill="1" applyBorder="1" applyAlignment="1">
      <alignment horizontal="justify" vertical="center" wrapText="1"/>
    </xf>
    <xf numFmtId="166" fontId="39" fillId="2" borderId="9" xfId="0" applyNumberFormat="1" applyFont="1" applyFill="1" applyBorder="1" applyAlignment="1">
      <alignment horizontal="right" vertical="center" wrapText="1"/>
    </xf>
    <xf numFmtId="172" fontId="39" fillId="2" borderId="9" xfId="9" applyNumberFormat="1" applyFont="1" applyFill="1" applyBorder="1" applyAlignment="1">
      <alignment horizontal="right" vertical="center" wrapText="1"/>
    </xf>
    <xf numFmtId="0" fontId="39" fillId="0" borderId="7" xfId="0" quotePrefix="1" applyFont="1" applyFill="1" applyBorder="1" applyAlignment="1">
      <alignment horizontal="center" vertical="center"/>
    </xf>
    <xf numFmtId="0" fontId="39" fillId="0" borderId="7" xfId="0" applyNumberFormat="1" applyFont="1" applyFill="1" applyBorder="1" applyAlignment="1">
      <alignment horizontal="justify" vertical="center" wrapText="1"/>
    </xf>
    <xf numFmtId="174" fontId="39" fillId="2" borderId="0" xfId="10" applyNumberFormat="1" applyFont="1" applyFill="1"/>
    <xf numFmtId="171" fontId="39" fillId="2" borderId="0" xfId="0" applyNumberFormat="1" applyFont="1" applyFill="1"/>
    <xf numFmtId="0" fontId="39" fillId="0" borderId="9" xfId="0" quotePrefix="1" applyFont="1" applyFill="1" applyBorder="1" applyAlignment="1">
      <alignment horizontal="center" vertical="center"/>
    </xf>
    <xf numFmtId="174" fontId="39" fillId="0" borderId="0" xfId="10" applyNumberFormat="1" applyFont="1" applyFill="1"/>
    <xf numFmtId="168" fontId="39" fillId="2" borderId="7" xfId="69" applyNumberFormat="1" applyFont="1" applyFill="1" applyBorder="1" applyAlignment="1">
      <alignment vertical="center" wrapText="1"/>
    </xf>
    <xf numFmtId="0" fontId="39" fillId="0" borderId="0" xfId="0" applyFont="1" applyFill="1" applyAlignment="1">
      <alignment vertical="center"/>
    </xf>
    <xf numFmtId="172" fontId="39" fillId="2" borderId="7" xfId="9" applyNumberFormat="1" applyFont="1" applyFill="1" applyBorder="1" applyAlignment="1">
      <alignment horizontal="right" vertical="center" wrapText="1"/>
    </xf>
    <xf numFmtId="0" fontId="39" fillId="2" borderId="0" xfId="0" applyFont="1" applyFill="1" applyAlignment="1">
      <alignment vertical="center"/>
    </xf>
    <xf numFmtId="0" fontId="38" fillId="2" borderId="1" xfId="0" applyNumberFormat="1" applyFont="1" applyFill="1" applyBorder="1" applyAlignment="1">
      <alignment horizontal="justify" vertical="center" wrapText="1"/>
    </xf>
    <xf numFmtId="0" fontId="39" fillId="2" borderId="6" xfId="0" quotePrefix="1" applyFont="1" applyFill="1" applyBorder="1" applyAlignment="1">
      <alignment horizontal="center" vertical="center" wrapText="1"/>
    </xf>
    <xf numFmtId="169" fontId="39" fillId="2" borderId="6" xfId="12" quotePrefix="1" applyNumberFormat="1" applyFont="1" applyFill="1" applyBorder="1" applyAlignment="1">
      <alignment horizontal="justify" vertical="center" wrapText="1"/>
    </xf>
    <xf numFmtId="172" fontId="39" fillId="2" borderId="6" xfId="9" applyNumberFormat="1" applyFont="1" applyFill="1" applyBorder="1" applyAlignment="1">
      <alignment horizontal="right" vertical="center" wrapText="1"/>
    </xf>
    <xf numFmtId="0" fontId="39" fillId="2" borderId="8" xfId="0" quotePrefix="1" applyFont="1" applyFill="1" applyBorder="1" applyAlignment="1">
      <alignment horizontal="center" vertical="center" wrapText="1"/>
    </xf>
    <xf numFmtId="0" fontId="39" fillId="2" borderId="8" xfId="0" applyNumberFormat="1" applyFont="1" applyFill="1" applyBorder="1" applyAlignment="1">
      <alignment horizontal="justify" vertical="center" wrapText="1"/>
    </xf>
    <xf numFmtId="166" fontId="39" fillId="2" borderId="8" xfId="0" applyNumberFormat="1" applyFont="1" applyFill="1" applyBorder="1" applyAlignment="1">
      <alignment horizontal="right" vertical="center" wrapText="1"/>
    </xf>
    <xf numFmtId="172" fontId="39" fillId="2" borderId="8" xfId="9" applyNumberFormat="1" applyFont="1" applyFill="1" applyBorder="1" applyAlignment="1">
      <alignment horizontal="right" vertical="center" wrapText="1"/>
    </xf>
    <xf numFmtId="0" fontId="63"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60" fillId="0" borderId="0" xfId="0" applyFont="1" applyFill="1" applyAlignment="1">
      <alignment vertical="center"/>
    </xf>
    <xf numFmtId="0" fontId="53" fillId="0" borderId="0" xfId="0" applyFont="1" applyFill="1" applyAlignment="1">
      <alignment vertical="center"/>
    </xf>
    <xf numFmtId="166" fontId="112" fillId="0" borderId="0" xfId="0" applyNumberFormat="1" applyFont="1" applyFill="1"/>
    <xf numFmtId="188" fontId="114" fillId="0" borderId="7" xfId="10" applyNumberFormat="1" applyFont="1" applyBorder="1" applyAlignment="1">
      <alignment vertical="center" wrapText="1"/>
    </xf>
    <xf numFmtId="164" fontId="27" fillId="0" borderId="7" xfId="9" applyNumberFormat="1" applyFont="1" applyBorder="1" applyAlignment="1">
      <alignment vertical="center" wrapText="1"/>
    </xf>
    <xf numFmtId="164" fontId="114" fillId="0" borderId="7" xfId="9" applyNumberFormat="1" applyFont="1" applyBorder="1" applyAlignment="1">
      <alignment vertical="center" wrapText="1"/>
    </xf>
    <xf numFmtId="172" fontId="114" fillId="0" borderId="7" xfId="9" applyNumberFormat="1" applyFont="1" applyBorder="1" applyAlignment="1">
      <alignment vertical="center" wrapText="1"/>
    </xf>
    <xf numFmtId="0" fontId="125" fillId="0" borderId="0" xfId="0" applyFont="1"/>
    <xf numFmtId="166" fontId="53" fillId="0" borderId="7" xfId="0" applyNumberFormat="1" applyFont="1" applyBorder="1" applyAlignment="1">
      <alignment horizontal="right" vertical="center" wrapText="1"/>
    </xf>
    <xf numFmtId="0" fontId="39" fillId="0" borderId="22" xfId="0" applyFont="1" applyFill="1" applyBorder="1" applyAlignment="1">
      <alignment horizontal="center" vertical="center" wrapText="1"/>
    </xf>
    <xf numFmtId="0" fontId="32" fillId="0" borderId="1" xfId="0" applyFont="1" applyFill="1" applyBorder="1" applyAlignment="1">
      <alignment vertical="center" wrapText="1"/>
    </xf>
    <xf numFmtId="0" fontId="43" fillId="0" borderId="0" xfId="0" applyFont="1" applyFill="1"/>
    <xf numFmtId="0" fontId="43" fillId="0" borderId="1" xfId="0" applyFont="1" applyFill="1" applyBorder="1"/>
    <xf numFmtId="0" fontId="43" fillId="0" borderId="1" xfId="0" applyFont="1" applyFill="1" applyBorder="1" applyAlignment="1">
      <alignment horizontal="right"/>
    </xf>
    <xf numFmtId="9" fontId="38" fillId="0" borderId="6" xfId="64" applyFont="1" applyFill="1" applyBorder="1" applyAlignment="1">
      <alignment horizontal="right" vertical="center" wrapText="1"/>
    </xf>
    <xf numFmtId="0" fontId="43" fillId="2" borderId="0" xfId="0" applyFont="1" applyFill="1"/>
    <xf numFmtId="0" fontId="43" fillId="0" borderId="22" xfId="0" applyFont="1" applyFill="1" applyBorder="1" applyAlignment="1">
      <alignment horizontal="center" vertical="center" wrapText="1"/>
    </xf>
    <xf numFmtId="0" fontId="43" fillId="0" borderId="22" xfId="0" applyFont="1" applyFill="1" applyBorder="1" applyAlignment="1">
      <alignment horizontal="justify" vertical="center" wrapText="1"/>
    </xf>
    <xf numFmtId="0" fontId="12" fillId="0" borderId="22" xfId="0" applyFont="1" applyFill="1" applyBorder="1" applyAlignment="1">
      <alignment horizontal="center" vertical="center" wrapText="1"/>
    </xf>
    <xf numFmtId="164" fontId="12" fillId="0" borderId="22" xfId="9" applyFont="1" applyFill="1" applyBorder="1" applyAlignment="1">
      <alignment horizontal="center" vertical="center" wrapText="1"/>
    </xf>
    <xf numFmtId="0" fontId="32" fillId="0" borderId="22" xfId="0" applyFont="1" applyFill="1" applyBorder="1" applyAlignment="1">
      <alignment horizontal="center" vertical="center" wrapText="1"/>
    </xf>
    <xf numFmtId="166" fontId="43" fillId="0" borderId="1" xfId="0" applyNumberFormat="1" applyFont="1" applyFill="1" applyBorder="1" applyAlignment="1">
      <alignment horizontal="right"/>
    </xf>
    <xf numFmtId="0" fontId="43" fillId="0" borderId="2" xfId="0" applyFont="1" applyFill="1" applyBorder="1" applyAlignment="1">
      <alignment horizontal="center" vertical="center" wrapText="1"/>
    </xf>
    <xf numFmtId="0" fontId="43" fillId="0" borderId="2" xfId="0" applyFont="1" applyFill="1" applyBorder="1" applyAlignment="1">
      <alignment horizontal="justify" vertical="center" wrapText="1"/>
    </xf>
    <xf numFmtId="0" fontId="32" fillId="0" borderId="2" xfId="0" applyFont="1" applyFill="1" applyBorder="1" applyAlignment="1">
      <alignment horizontal="center" vertical="center" wrapText="1"/>
    </xf>
    <xf numFmtId="0" fontId="43" fillId="0" borderId="2" xfId="0" applyFont="1" applyFill="1" applyBorder="1"/>
    <xf numFmtId="0" fontId="43" fillId="0" borderId="2" xfId="0" applyFont="1" applyFill="1" applyBorder="1" applyAlignment="1">
      <alignment horizontal="right"/>
    </xf>
    <xf numFmtId="9" fontId="38" fillId="0" borderId="2" xfId="64" applyFont="1" applyFill="1" applyBorder="1" applyAlignment="1">
      <alignment horizontal="right" vertical="center" wrapText="1"/>
    </xf>
    <xf numFmtId="0" fontId="43" fillId="0" borderId="1" xfId="0" applyFont="1" applyFill="1" applyBorder="1" applyAlignment="1">
      <alignment horizontal="center" vertical="center" wrapText="1"/>
    </xf>
    <xf numFmtId="0" fontId="43" fillId="0" borderId="1" xfId="0" applyFont="1" applyFill="1" applyBorder="1" applyAlignment="1">
      <alignment horizontal="justify" vertical="center" wrapText="1"/>
    </xf>
    <xf numFmtId="9" fontId="38" fillId="0" borderId="1" xfId="64" applyFont="1" applyFill="1" applyBorder="1" applyAlignment="1">
      <alignment horizontal="right" vertical="center" wrapText="1"/>
    </xf>
    <xf numFmtId="0" fontId="39" fillId="0" borderId="1" xfId="0" applyFont="1" applyBorder="1" applyAlignment="1">
      <alignment horizontal="left" vertical="center" wrapText="1"/>
    </xf>
    <xf numFmtId="164" fontId="39" fillId="0" borderId="1" xfId="9" applyNumberFormat="1" applyFont="1" applyFill="1" applyBorder="1" applyAlignment="1">
      <alignment horizontal="right" vertical="center" wrapText="1"/>
    </xf>
    <xf numFmtId="166" fontId="39" fillId="0" borderId="1" xfId="0" applyNumberFormat="1" applyFont="1" applyFill="1" applyBorder="1"/>
    <xf numFmtId="0" fontId="39" fillId="0" borderId="1" xfId="0" applyFont="1" applyFill="1" applyBorder="1"/>
    <xf numFmtId="0" fontId="39" fillId="0" borderId="1" xfId="0" applyFont="1" applyFill="1" applyBorder="1" applyAlignment="1">
      <alignment horizontal="right"/>
    </xf>
    <xf numFmtId="9" fontId="39" fillId="0" borderId="1" xfId="64" applyFont="1" applyFill="1" applyBorder="1" applyAlignment="1">
      <alignment horizontal="right" vertical="center" wrapText="1"/>
    </xf>
    <xf numFmtId="172" fontId="32" fillId="0" borderId="1" xfId="9" applyNumberFormat="1" applyFont="1" applyFill="1" applyBorder="1" applyAlignment="1">
      <alignment horizontal="right" vertical="center" wrapText="1"/>
    </xf>
    <xf numFmtId="164" fontId="32" fillId="0" borderId="1" xfId="9"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164" fontId="38" fillId="0" borderId="1" xfId="9" applyNumberFormat="1" applyFont="1" applyFill="1" applyBorder="1" applyAlignment="1">
      <alignment horizontal="right" vertical="center" wrapText="1"/>
    </xf>
    <xf numFmtId="173" fontId="43" fillId="0" borderId="1" xfId="0" applyNumberFormat="1" applyFont="1" applyFill="1" applyBorder="1" applyAlignment="1">
      <alignment horizontal="right"/>
    </xf>
    <xf numFmtId="0" fontId="39" fillId="0" borderId="1" xfId="0" applyFont="1" applyFill="1" applyBorder="1" applyAlignment="1">
      <alignment horizontal="left" vertical="center" wrapText="1"/>
    </xf>
    <xf numFmtId="0" fontId="12" fillId="0" borderId="1" xfId="0" applyFont="1" applyFill="1" applyBorder="1"/>
    <xf numFmtId="0" fontId="39" fillId="2" borderId="1" xfId="0" applyNumberFormat="1" applyFont="1" applyFill="1" applyBorder="1" applyAlignment="1">
      <alignment horizontal="left" vertical="center" wrapText="1"/>
    </xf>
    <xf numFmtId="167" fontId="39" fillId="0" borderId="1" xfId="10" applyNumberFormat="1" applyFont="1" applyFill="1" applyBorder="1" applyAlignment="1">
      <alignment horizontal="center" vertical="center" wrapText="1"/>
    </xf>
    <xf numFmtId="0" fontId="43" fillId="2" borderId="1" xfId="0" applyFont="1" applyFill="1" applyBorder="1" applyAlignment="1">
      <alignment vertical="center" wrapText="1"/>
    </xf>
    <xf numFmtId="0" fontId="43" fillId="0" borderId="1" xfId="0" applyFont="1" applyFill="1" applyBorder="1" applyAlignment="1">
      <alignment vertical="center" wrapText="1"/>
    </xf>
    <xf numFmtId="0" fontId="43" fillId="0" borderId="1" xfId="0" applyFont="1" applyFill="1" applyBorder="1" applyAlignment="1">
      <alignment horizontal="right" vertical="center" wrapText="1"/>
    </xf>
    <xf numFmtId="172" fontId="43" fillId="0" borderId="1" xfId="9" applyNumberFormat="1" applyFont="1" applyFill="1" applyBorder="1" applyAlignment="1">
      <alignment vertical="center" wrapText="1"/>
    </xf>
    <xf numFmtId="166" fontId="43" fillId="0" borderId="1" xfId="0" applyNumberFormat="1" applyFont="1" applyFill="1" applyBorder="1" applyAlignment="1">
      <alignment vertical="center" wrapText="1"/>
    </xf>
    <xf numFmtId="0" fontId="43" fillId="2" borderId="0" xfId="0" applyFont="1" applyFill="1" applyAlignment="1">
      <alignment vertical="center" wrapText="1"/>
    </xf>
    <xf numFmtId="0" fontId="38" fillId="0" borderId="1" xfId="0" applyFont="1" applyFill="1" applyBorder="1"/>
    <xf numFmtId="0" fontId="38" fillId="0" borderId="1" xfId="0" applyFont="1" applyFill="1" applyBorder="1" applyAlignment="1">
      <alignment horizontal="right"/>
    </xf>
    <xf numFmtId="173" fontId="38" fillId="0" borderId="1" xfId="0" applyNumberFormat="1" applyFont="1" applyFill="1" applyBorder="1" applyAlignment="1">
      <alignment horizontal="right"/>
    </xf>
    <xf numFmtId="0" fontId="38" fillId="0" borderId="0" xfId="0" applyFont="1" applyFill="1"/>
    <xf numFmtId="164" fontId="43" fillId="0" borderId="1" xfId="9" applyNumberFormat="1" applyFont="1" applyFill="1" applyBorder="1" applyAlignment="1">
      <alignment horizontal="right" vertical="center" wrapText="1"/>
    </xf>
    <xf numFmtId="0" fontId="43" fillId="2" borderId="1" xfId="0" applyFont="1" applyFill="1" applyBorder="1" applyAlignment="1">
      <alignment horizontal="center" vertical="center"/>
    </xf>
    <xf numFmtId="0" fontId="43" fillId="2" borderId="1" xfId="0" applyFont="1" applyFill="1" applyBorder="1" applyAlignment="1">
      <alignment vertical="center"/>
    </xf>
    <xf numFmtId="0" fontId="43" fillId="0" borderId="1" xfId="0" applyFont="1" applyFill="1" applyBorder="1" applyAlignment="1">
      <alignment vertical="center"/>
    </xf>
    <xf numFmtId="0" fontId="43" fillId="0" borderId="1" xfId="0" applyFont="1" applyFill="1" applyBorder="1" applyAlignment="1">
      <alignment horizontal="right" vertical="center"/>
    </xf>
    <xf numFmtId="172" fontId="43" fillId="0" borderId="1" xfId="9" applyNumberFormat="1" applyFont="1" applyFill="1" applyBorder="1" applyAlignment="1">
      <alignment vertical="center"/>
    </xf>
    <xf numFmtId="166" fontId="43" fillId="0" borderId="1" xfId="0" applyNumberFormat="1" applyFont="1" applyFill="1" applyBorder="1" applyAlignment="1">
      <alignment vertical="center"/>
    </xf>
    <xf numFmtId="0" fontId="43" fillId="2" borderId="0" xfId="0" applyFont="1" applyFill="1" applyAlignment="1">
      <alignment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wrapText="1"/>
    </xf>
    <xf numFmtId="0" fontId="12" fillId="2" borderId="1" xfId="0" applyFont="1" applyFill="1" applyBorder="1" applyAlignment="1">
      <alignment vertical="center"/>
    </xf>
    <xf numFmtId="0" fontId="12" fillId="0" borderId="1" xfId="0" applyFont="1" applyFill="1" applyBorder="1" applyAlignment="1">
      <alignment vertical="center"/>
    </xf>
    <xf numFmtId="166" fontId="12" fillId="0" borderId="1" xfId="0" applyNumberFormat="1" applyFont="1" applyFill="1" applyBorder="1" applyAlignment="1">
      <alignment vertical="center"/>
    </xf>
    <xf numFmtId="0" fontId="12" fillId="0" borderId="1" xfId="0" applyFont="1" applyBorder="1" applyAlignment="1">
      <alignment vertical="center" wrapText="1"/>
    </xf>
    <xf numFmtId="0" fontId="11" fillId="0" borderId="1" xfId="0" applyFont="1" applyFill="1" applyBorder="1" applyAlignment="1">
      <alignment horizontal="center" vertical="center" wrapText="1"/>
    </xf>
    <xf numFmtId="0" fontId="89" fillId="2" borderId="0" xfId="0" applyFont="1" applyFill="1"/>
    <xf numFmtId="164" fontId="38" fillId="0" borderId="22" xfId="0" applyNumberFormat="1" applyFont="1" applyFill="1" applyBorder="1" applyAlignment="1">
      <alignment horizontal="right" vertical="center" wrapText="1"/>
    </xf>
    <xf numFmtId="164" fontId="38" fillId="0" borderId="2" xfId="0" applyNumberFormat="1" applyFont="1" applyFill="1" applyBorder="1" applyAlignment="1">
      <alignment horizontal="right" vertical="center" wrapText="1"/>
    </xf>
    <xf numFmtId="164" fontId="38" fillId="0" borderId="1" xfId="0" applyNumberFormat="1" applyFont="1" applyFill="1" applyBorder="1" applyAlignment="1">
      <alignment horizontal="right" vertical="center" wrapText="1"/>
    </xf>
    <xf numFmtId="164" fontId="39" fillId="0" borderId="1" xfId="0" applyNumberFormat="1" applyFont="1" applyFill="1" applyBorder="1" applyAlignment="1">
      <alignment horizontal="right" vertical="center" wrapText="1"/>
    </xf>
    <xf numFmtId="164" fontId="126" fillId="0" borderId="1" xfId="10" applyNumberFormat="1" applyFont="1" applyFill="1" applyBorder="1" applyAlignment="1">
      <alignment horizontal="center" vertical="center" wrapText="1"/>
    </xf>
    <xf numFmtId="164" fontId="39" fillId="0" borderId="1" xfId="0" applyNumberFormat="1" applyFont="1" applyFill="1" applyBorder="1" applyAlignment="1">
      <alignment vertical="center" wrapText="1"/>
    </xf>
    <xf numFmtId="164" fontId="6" fillId="0" borderId="1" xfId="9" applyNumberFormat="1" applyFont="1" applyFill="1" applyBorder="1" applyAlignment="1">
      <alignment horizontal="right" vertical="center" wrapText="1"/>
    </xf>
    <xf numFmtId="164" fontId="126" fillId="0" borderId="1" xfId="10" applyNumberFormat="1" applyFont="1" applyFill="1" applyBorder="1" applyAlignment="1">
      <alignment vertical="center"/>
    </xf>
    <xf numFmtId="164" fontId="12" fillId="0" borderId="1" xfId="0" applyNumberFormat="1" applyFont="1" applyFill="1" applyBorder="1" applyAlignment="1">
      <alignment vertical="center"/>
    </xf>
    <xf numFmtId="0" fontId="38" fillId="0" borderId="1" xfId="0" applyFont="1" applyFill="1" applyBorder="1" applyAlignment="1">
      <alignment vertical="center" wrapText="1"/>
    </xf>
    <xf numFmtId="164" fontId="38" fillId="0" borderId="1" xfId="9" applyFont="1" applyFill="1" applyBorder="1" applyAlignment="1">
      <alignment horizontal="right" vertical="center" wrapText="1"/>
    </xf>
    <xf numFmtId="0" fontId="53" fillId="0" borderId="1" xfId="0" applyFont="1" applyFill="1" applyBorder="1" applyAlignment="1">
      <alignment vertical="center" wrapText="1"/>
    </xf>
    <xf numFmtId="164" fontId="39" fillId="0" borderId="1" xfId="9" applyFont="1" applyFill="1" applyBorder="1" applyAlignment="1">
      <alignment horizontal="right" vertical="center" wrapText="1"/>
    </xf>
    <xf numFmtId="0" fontId="60" fillId="0" borderId="0" xfId="0" applyFont="1" applyFill="1"/>
    <xf numFmtId="171" fontId="53" fillId="0" borderId="0" xfId="0" applyNumberFormat="1" applyFont="1" applyFill="1" applyAlignment="1">
      <alignment vertical="center"/>
    </xf>
    <xf numFmtId="172" fontId="53" fillId="0" borderId="0" xfId="0" applyNumberFormat="1" applyFont="1" applyFill="1" applyAlignment="1">
      <alignment vertical="center"/>
    </xf>
    <xf numFmtId="175" fontId="53" fillId="0" borderId="0" xfId="9" applyNumberFormat="1" applyFont="1" applyFill="1" applyAlignment="1">
      <alignment vertical="center"/>
    </xf>
    <xf numFmtId="0" fontId="13" fillId="0" borderId="7" xfId="0" applyFont="1" applyFill="1" applyBorder="1" applyAlignment="1">
      <alignment vertical="center" wrapText="1"/>
    </xf>
    <xf numFmtId="0" fontId="56" fillId="0" borderId="0" xfId="0" applyFont="1" applyFill="1"/>
    <xf numFmtId="175" fontId="56" fillId="0" borderId="0" xfId="9" applyNumberFormat="1" applyFont="1" applyFill="1"/>
    <xf numFmtId="0" fontId="40" fillId="0" borderId="1" xfId="0" applyFont="1" applyFill="1" applyBorder="1" applyAlignment="1">
      <alignment horizontal="center" vertical="center" wrapText="1"/>
    </xf>
    <xf numFmtId="0" fontId="40" fillId="0" borderId="0" xfId="0" applyFont="1" applyFill="1"/>
    <xf numFmtId="0" fontId="7" fillId="0" borderId="22" xfId="0" applyFont="1" applyFill="1" applyBorder="1" applyAlignment="1">
      <alignment horizontal="center" vertical="center" wrapText="1"/>
    </xf>
    <xf numFmtId="0" fontId="7" fillId="0" borderId="22" xfId="0" applyFont="1" applyFill="1" applyBorder="1" applyAlignment="1">
      <alignment vertical="center" wrapText="1"/>
    </xf>
    <xf numFmtId="164" fontId="38" fillId="0" borderId="22" xfId="9" applyNumberFormat="1" applyFont="1" applyFill="1" applyBorder="1" applyAlignment="1">
      <alignment horizontal="right" vertical="center" wrapText="1"/>
    </xf>
    <xf numFmtId="9" fontId="39" fillId="0" borderId="22" xfId="64" applyFont="1" applyFill="1" applyBorder="1" applyAlignment="1">
      <alignment horizontal="right" vertical="center" wrapText="1"/>
    </xf>
    <xf numFmtId="164" fontId="39" fillId="0" borderId="22" xfId="9" applyNumberFormat="1" applyFont="1" applyFill="1" applyBorder="1" applyAlignment="1">
      <alignment horizontal="right" vertical="center" wrapText="1"/>
    </xf>
    <xf numFmtId="164" fontId="39" fillId="0" borderId="7" xfId="9" applyNumberFormat="1" applyFont="1" applyFill="1" applyBorder="1" applyAlignment="1">
      <alignment horizontal="right" vertical="center" wrapText="1"/>
    </xf>
    <xf numFmtId="0" fontId="53" fillId="0" borderId="8" xfId="0" applyNumberFormat="1" applyFont="1" applyFill="1" applyBorder="1" applyAlignment="1">
      <alignment horizontal="justify" vertical="center" wrapText="1"/>
    </xf>
    <xf numFmtId="164" fontId="39" fillId="0" borderId="8" xfId="9" applyNumberFormat="1" applyFont="1" applyFill="1" applyBorder="1" applyAlignment="1">
      <alignment horizontal="right" vertical="center" wrapText="1"/>
    </xf>
    <xf numFmtId="9" fontId="39" fillId="0" borderId="8" xfId="64" applyFont="1" applyFill="1" applyBorder="1" applyAlignment="1">
      <alignment horizontal="right" vertical="center" wrapText="1"/>
    </xf>
    <xf numFmtId="3" fontId="38" fillId="0" borderId="1" xfId="0" applyNumberFormat="1" applyFont="1" applyFill="1" applyBorder="1" applyAlignment="1">
      <alignment horizontal="right" vertical="center" wrapText="1"/>
    </xf>
    <xf numFmtId="3" fontId="39" fillId="0" borderId="1" xfId="0" applyNumberFormat="1" applyFont="1" applyFill="1" applyBorder="1" applyAlignment="1">
      <alignment horizontal="right" vertical="center" wrapText="1"/>
    </xf>
    <xf numFmtId="174" fontId="112" fillId="0" borderId="0" xfId="10" applyNumberFormat="1" applyFont="1" applyFill="1"/>
    <xf numFmtId="173" fontId="112" fillId="0" borderId="0" xfId="0" applyNumberFormat="1" applyFont="1" applyFill="1"/>
    <xf numFmtId="3" fontId="115" fillId="0" borderId="1" xfId="0" applyNumberFormat="1" applyFont="1" applyFill="1" applyBorder="1" applyAlignment="1">
      <alignment horizontal="right" vertical="center" wrapText="1"/>
    </xf>
    <xf numFmtId="0" fontId="128" fillId="0" borderId="1" xfId="0" applyFont="1" applyFill="1" applyBorder="1" applyAlignment="1">
      <alignment horizontal="center" vertical="center" wrapText="1"/>
    </xf>
    <xf numFmtId="0" fontId="112" fillId="0" borderId="0" xfId="0" applyFont="1" applyFill="1" applyAlignment="1">
      <alignment vertical="center"/>
    </xf>
    <xf numFmtId="0" fontId="128" fillId="0" borderId="0" xfId="0" applyFont="1" applyFill="1"/>
    <xf numFmtId="0" fontId="129" fillId="0" borderId="1" xfId="0" applyFont="1" applyFill="1" applyBorder="1" applyAlignment="1">
      <alignment horizontal="center" vertical="center" wrapText="1"/>
    </xf>
    <xf numFmtId="0" fontId="130" fillId="0" borderId="0" xfId="0" applyFont="1" applyFill="1"/>
    <xf numFmtId="0" fontId="24" fillId="0" borderId="1" xfId="0" applyFont="1" applyFill="1" applyBorder="1" applyAlignment="1">
      <alignment vertical="center" wrapText="1"/>
    </xf>
    <xf numFmtId="3" fontId="24" fillId="0" borderId="1" xfId="0" applyNumberFormat="1" applyFont="1" applyFill="1" applyBorder="1" applyAlignment="1">
      <alignment vertical="center" wrapText="1"/>
    </xf>
    <xf numFmtId="3" fontId="24" fillId="0" borderId="6" xfId="0" applyNumberFormat="1" applyFont="1" applyFill="1" applyBorder="1" applyAlignment="1">
      <alignment vertical="center" wrapText="1"/>
    </xf>
    <xf numFmtId="0" fontId="24" fillId="0" borderId="0" xfId="0" applyFont="1" applyFill="1"/>
    <xf numFmtId="185" fontId="24" fillId="0" borderId="0" xfId="10" applyNumberFormat="1" applyFont="1" applyFill="1"/>
    <xf numFmtId="0" fontId="39" fillId="0" borderId="22" xfId="0" applyFont="1" applyFill="1" applyBorder="1" applyAlignment="1">
      <alignment vertical="center" wrapText="1"/>
    </xf>
    <xf numFmtId="3" fontId="39" fillId="0" borderId="22" xfId="0" applyNumberFormat="1" applyFont="1" applyFill="1" applyBorder="1" applyAlignment="1">
      <alignment horizontal="right" vertical="center" wrapText="1"/>
    </xf>
    <xf numFmtId="3" fontId="39" fillId="0" borderId="22" xfId="0" applyNumberFormat="1" applyFont="1" applyFill="1" applyBorder="1" applyAlignment="1">
      <alignment vertical="center" wrapText="1"/>
    </xf>
    <xf numFmtId="9" fontId="39" fillId="0" borderId="22" xfId="64" applyFont="1" applyFill="1" applyBorder="1" applyAlignment="1">
      <alignment vertical="center" wrapText="1"/>
    </xf>
    <xf numFmtId="180" fontId="112" fillId="0" borderId="0" xfId="0" applyNumberFormat="1" applyFont="1" applyFill="1"/>
    <xf numFmtId="0" fontId="53" fillId="2" borderId="22" xfId="0" applyFont="1" applyFill="1" applyBorder="1" applyAlignment="1">
      <alignment horizontal="center" vertical="center" wrapText="1"/>
    </xf>
    <xf numFmtId="0" fontId="53" fillId="2" borderId="22" xfId="0" applyFont="1" applyFill="1" applyBorder="1" applyAlignment="1">
      <alignment vertical="center" wrapText="1"/>
    </xf>
    <xf numFmtId="166" fontId="53" fillId="2" borderId="22" xfId="0" applyNumberFormat="1" applyFont="1" applyFill="1" applyBorder="1" applyAlignment="1">
      <alignment horizontal="right" vertical="center" wrapText="1"/>
    </xf>
    <xf numFmtId="166" fontId="60" fillId="0" borderId="7" xfId="0" applyNumberFormat="1" applyFont="1" applyFill="1" applyBorder="1" applyAlignment="1">
      <alignment horizontal="right" vertical="center" wrapText="1"/>
    </xf>
    <xf numFmtId="0" fontId="53" fillId="0" borderId="0" xfId="0" applyFont="1" applyAlignment="1"/>
    <xf numFmtId="175" fontId="53" fillId="2" borderId="0" xfId="9" applyNumberFormat="1" applyFont="1" applyFill="1" applyAlignment="1"/>
    <xf numFmtId="175" fontId="53" fillId="2" borderId="0" xfId="9" applyNumberFormat="1" applyFont="1" applyFill="1"/>
    <xf numFmtId="175" fontId="7" fillId="2" borderId="1" xfId="9" applyNumberFormat="1" applyFont="1" applyFill="1" applyBorder="1" applyAlignment="1">
      <alignment horizontal="center" vertical="center" wrapText="1"/>
    </xf>
    <xf numFmtId="0" fontId="38" fillId="0" borderId="0" xfId="0" applyFont="1"/>
    <xf numFmtId="0" fontId="60" fillId="0" borderId="22" xfId="0" applyFont="1" applyBorder="1" applyAlignment="1">
      <alignment horizontal="center" vertical="center" wrapText="1"/>
    </xf>
    <xf numFmtId="166" fontId="60" fillId="0" borderId="22" xfId="0" applyNumberFormat="1" applyFont="1" applyBorder="1" applyAlignment="1">
      <alignment horizontal="right" vertical="center" wrapText="1"/>
    </xf>
    <xf numFmtId="166" fontId="60" fillId="0" borderId="22" xfId="0" applyNumberFormat="1" applyFont="1" applyFill="1" applyBorder="1" applyAlignment="1">
      <alignment horizontal="right" vertical="center" wrapText="1"/>
    </xf>
    <xf numFmtId="0" fontId="60" fillId="0" borderId="22" xfId="0" applyFont="1" applyBorder="1" applyAlignment="1">
      <alignment horizontal="justify" vertical="center" wrapText="1"/>
    </xf>
    <xf numFmtId="0" fontId="60" fillId="0" borderId="9" xfId="0" applyFont="1" applyBorder="1" applyAlignment="1">
      <alignment horizontal="center" vertical="center" wrapText="1"/>
    </xf>
    <xf numFmtId="0" fontId="60" fillId="0" borderId="9" xfId="0" applyFont="1" applyBorder="1" applyAlignment="1">
      <alignment horizontal="justify" vertical="center" wrapText="1"/>
    </xf>
    <xf numFmtId="166" fontId="60" fillId="0" borderId="9" xfId="0" applyNumberFormat="1" applyFont="1" applyFill="1" applyBorder="1" applyAlignment="1">
      <alignment horizontal="right" vertical="center" wrapText="1"/>
    </xf>
    <xf numFmtId="9" fontId="60" fillId="0" borderId="9" xfId="64" applyFont="1" applyBorder="1" applyAlignment="1">
      <alignment horizontal="right" vertical="center" wrapText="1"/>
    </xf>
    <xf numFmtId="166" fontId="53" fillId="0" borderId="7" xfId="0" applyNumberFormat="1" applyFont="1" applyFill="1" applyBorder="1" applyAlignment="1">
      <alignment horizontal="right" vertical="center" wrapText="1"/>
    </xf>
    <xf numFmtId="172" fontId="53" fillId="2" borderId="7" xfId="9" applyNumberFormat="1" applyFont="1" applyFill="1" applyBorder="1" applyAlignment="1">
      <alignment horizontal="right" vertical="center" wrapText="1"/>
    </xf>
    <xf numFmtId="1" fontId="53" fillId="0" borderId="7" xfId="0" applyNumberFormat="1" applyFont="1" applyBorder="1" applyAlignment="1">
      <alignment horizontal="right" vertical="center" wrapText="1"/>
    </xf>
    <xf numFmtId="0" fontId="60" fillId="0" borderId="7" xfId="0" applyFont="1" applyBorder="1" applyAlignment="1">
      <alignment horizontal="center" vertical="center" wrapText="1"/>
    </xf>
    <xf numFmtId="0" fontId="60" fillId="0" borderId="7" xfId="0" applyFont="1" applyBorder="1" applyAlignment="1">
      <alignment horizontal="justify" vertical="center" wrapText="1"/>
    </xf>
    <xf numFmtId="166" fontId="60" fillId="0" borderId="7" xfId="0" applyNumberFormat="1" applyFont="1" applyBorder="1" applyAlignment="1">
      <alignment horizontal="right" vertical="center" wrapText="1"/>
    </xf>
    <xf numFmtId="172" fontId="60" fillId="2" borderId="7" xfId="9" applyNumberFormat="1" applyFont="1" applyFill="1" applyBorder="1" applyAlignment="1">
      <alignment horizontal="right" vertical="center" wrapText="1"/>
    </xf>
    <xf numFmtId="0" fontId="60" fillId="0" borderId="17" xfId="0" applyFont="1" applyBorder="1" applyAlignment="1">
      <alignment horizontal="justify" vertical="center" wrapText="1"/>
    </xf>
    <xf numFmtId="172" fontId="60" fillId="2" borderId="17" xfId="9" applyNumberFormat="1" applyFont="1" applyFill="1" applyBorder="1" applyAlignment="1">
      <alignment horizontal="right" vertical="center" wrapText="1"/>
    </xf>
    <xf numFmtId="9" fontId="60" fillId="0" borderId="3" xfId="64" applyFont="1" applyBorder="1" applyAlignment="1">
      <alignment horizontal="right" vertical="center" wrapText="1"/>
    </xf>
    <xf numFmtId="9" fontId="60" fillId="0" borderId="22" xfId="64" applyFont="1" applyBorder="1" applyAlignment="1">
      <alignment horizontal="right" vertical="center" wrapText="1"/>
    </xf>
    <xf numFmtId="0" fontId="53" fillId="0" borderId="9" xfId="0" applyFont="1" applyBorder="1" applyAlignment="1">
      <alignment horizontal="center" vertical="center" wrapText="1"/>
    </xf>
    <xf numFmtId="0" fontId="53" fillId="0" borderId="9" xfId="0" applyFont="1" applyBorder="1" applyAlignment="1">
      <alignment horizontal="justify" vertical="center" wrapText="1"/>
    </xf>
    <xf numFmtId="166" fontId="53" fillId="0" borderId="9" xfId="0" applyNumberFormat="1" applyFont="1" applyBorder="1" applyAlignment="1">
      <alignment horizontal="right" vertical="center" wrapText="1"/>
    </xf>
    <xf numFmtId="166" fontId="53" fillId="0" borderId="9" xfId="0" applyNumberFormat="1" applyFont="1" applyFill="1" applyBorder="1" applyAlignment="1">
      <alignment horizontal="right" vertical="center" wrapText="1"/>
    </xf>
    <xf numFmtId="172" fontId="53" fillId="2" borderId="9" xfId="9" applyNumberFormat="1" applyFont="1" applyFill="1" applyBorder="1" applyAlignment="1">
      <alignment horizontal="right" vertical="center" wrapText="1"/>
    </xf>
    <xf numFmtId="1" fontId="53" fillId="0" borderId="9" xfId="0" applyNumberFormat="1" applyFont="1" applyBorder="1" applyAlignment="1">
      <alignment horizontal="right" vertical="center" wrapText="1"/>
    </xf>
    <xf numFmtId="9" fontId="53" fillId="0" borderId="7" xfId="64" applyFont="1" applyBorder="1" applyAlignment="1">
      <alignment horizontal="right" vertical="center" wrapText="1"/>
    </xf>
    <xf numFmtId="180" fontId="53" fillId="0" borderId="7" xfId="0" applyNumberFormat="1" applyFont="1" applyFill="1" applyBorder="1" applyAlignment="1">
      <alignment horizontal="right" vertical="center" wrapText="1"/>
    </xf>
    <xf numFmtId="0" fontId="53" fillId="0" borderId="17" xfId="0" applyFont="1" applyBorder="1" applyAlignment="1">
      <alignment horizontal="justify" vertical="center" wrapText="1"/>
    </xf>
    <xf numFmtId="166" fontId="53" fillId="0" borderId="17" xfId="0" applyNumberFormat="1" applyFont="1" applyBorder="1" applyAlignment="1">
      <alignment horizontal="right" vertical="center" wrapText="1"/>
    </xf>
    <xf numFmtId="172" fontId="53" fillId="2" borderId="17" xfId="9" applyNumberFormat="1" applyFont="1" applyFill="1" applyBorder="1" applyAlignment="1">
      <alignment horizontal="right" vertical="center" wrapText="1"/>
    </xf>
    <xf numFmtId="1" fontId="53" fillId="0" borderId="17" xfId="0" applyNumberFormat="1" applyFont="1" applyBorder="1" applyAlignment="1">
      <alignment horizontal="right" vertical="center" wrapText="1"/>
    </xf>
    <xf numFmtId="0" fontId="60" fillId="0" borderId="1" xfId="0" applyFont="1" applyFill="1" applyBorder="1" applyAlignment="1">
      <alignment horizontal="center" vertical="center" wrapText="1"/>
    </xf>
    <xf numFmtId="0" fontId="60" fillId="0" borderId="1" xfId="0" applyFont="1" applyFill="1" applyBorder="1" applyAlignment="1">
      <alignment horizontal="justify" vertical="center" wrapText="1"/>
    </xf>
    <xf numFmtId="166" fontId="60" fillId="0" borderId="1" xfId="0" applyNumberFormat="1" applyFont="1" applyFill="1" applyBorder="1" applyAlignment="1">
      <alignment horizontal="right" vertical="center" wrapText="1"/>
    </xf>
    <xf numFmtId="172" fontId="60" fillId="0" borderId="1" xfId="9" applyNumberFormat="1" applyFont="1" applyFill="1" applyBorder="1" applyAlignment="1">
      <alignment horizontal="right" vertical="center" wrapText="1"/>
    </xf>
    <xf numFmtId="1" fontId="53" fillId="0" borderId="1" xfId="0" applyNumberFormat="1" applyFont="1" applyFill="1" applyBorder="1" applyAlignment="1">
      <alignment horizontal="right" vertical="center" wrapText="1"/>
    </xf>
    <xf numFmtId="0" fontId="60" fillId="0" borderId="1" xfId="0" applyFont="1" applyBorder="1" applyAlignment="1">
      <alignment horizontal="center" vertical="center" wrapText="1"/>
    </xf>
    <xf numFmtId="0" fontId="60" fillId="0" borderId="1" xfId="0" applyFont="1" applyBorder="1" applyAlignment="1">
      <alignment horizontal="justify" vertical="center" wrapText="1"/>
    </xf>
    <xf numFmtId="166" fontId="60" fillId="0" borderId="1" xfId="0" applyNumberFormat="1" applyFont="1" applyBorder="1" applyAlignment="1">
      <alignment horizontal="right" vertical="center" wrapText="1"/>
    </xf>
    <xf numFmtId="172" fontId="60" fillId="2" borderId="1" xfId="9" applyNumberFormat="1" applyFont="1" applyFill="1" applyBorder="1" applyAlignment="1">
      <alignment horizontal="right" vertical="center" wrapText="1"/>
    </xf>
    <xf numFmtId="1" fontId="53" fillId="0" borderId="1" xfId="0" applyNumberFormat="1" applyFont="1" applyBorder="1" applyAlignment="1">
      <alignment horizontal="right" vertical="center" wrapText="1"/>
    </xf>
    <xf numFmtId="1" fontId="60" fillId="0" borderId="1" xfId="0" applyNumberFormat="1" applyFont="1" applyBorder="1" applyAlignment="1">
      <alignment horizontal="right" vertical="center" wrapText="1"/>
    </xf>
    <xf numFmtId="0" fontId="53" fillId="0" borderId="17" xfId="0" applyFont="1" applyBorder="1" applyAlignment="1">
      <alignment horizontal="center" vertical="center" wrapText="1"/>
    </xf>
    <xf numFmtId="0" fontId="74" fillId="0" borderId="17" xfId="0" applyFont="1" applyBorder="1" applyAlignment="1">
      <alignment horizontal="justify" vertical="center" wrapText="1"/>
    </xf>
    <xf numFmtId="166" fontId="53" fillId="0" borderId="17" xfId="0" applyNumberFormat="1" applyFont="1" applyFill="1" applyBorder="1" applyAlignment="1">
      <alignment horizontal="right" vertical="center" wrapText="1"/>
    </xf>
    <xf numFmtId="0" fontId="60" fillId="0" borderId="22" xfId="0" applyFont="1" applyFill="1" applyBorder="1" applyAlignment="1">
      <alignment horizontal="center" vertical="center" wrapText="1"/>
    </xf>
    <xf numFmtId="0" fontId="60" fillId="0" borderId="22" xfId="0" applyFont="1" applyFill="1" applyBorder="1" applyAlignment="1">
      <alignment vertical="center" wrapText="1"/>
    </xf>
    <xf numFmtId="166" fontId="53" fillId="0" borderId="22" xfId="0" applyNumberFormat="1" applyFont="1" applyFill="1" applyBorder="1" applyAlignment="1">
      <alignment horizontal="right" vertical="center" wrapText="1"/>
    </xf>
    <xf numFmtId="172" fontId="60" fillId="0" borderId="22" xfId="9" applyNumberFormat="1" applyFont="1" applyFill="1" applyBorder="1" applyAlignment="1">
      <alignment horizontal="right" vertical="center" wrapText="1"/>
    </xf>
    <xf numFmtId="1" fontId="53" fillId="0" borderId="22" xfId="0" applyNumberFormat="1" applyFont="1" applyFill="1" applyBorder="1" applyAlignment="1">
      <alignment horizontal="right" vertical="center" wrapText="1"/>
    </xf>
    <xf numFmtId="0" fontId="7" fillId="0" borderId="0" xfId="0" applyFont="1" applyAlignment="1"/>
    <xf numFmtId="0" fontId="13" fillId="0" borderId="0" xfId="0" applyFont="1"/>
    <xf numFmtId="0" fontId="63" fillId="0" borderId="1" xfId="0" applyFont="1" applyBorder="1" applyAlignment="1">
      <alignment horizontal="center" vertical="center" wrapText="1"/>
    </xf>
    <xf numFmtId="172" fontId="63" fillId="0" borderId="1" xfId="9"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63" fillId="2" borderId="1"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91" fillId="0" borderId="0" xfId="0" applyFont="1" applyAlignment="1">
      <alignment horizontal="center" vertical="center" wrapText="1"/>
    </xf>
    <xf numFmtId="0" fontId="3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60" fillId="0" borderId="0" xfId="0" applyFont="1" applyAlignment="1">
      <alignment horizontal="left"/>
    </xf>
    <xf numFmtId="0" fontId="60" fillId="0" borderId="0" xfId="0" applyFont="1" applyAlignment="1">
      <alignment horizont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27" fillId="0" borderId="1" xfId="0" applyFont="1" applyBorder="1" applyAlignment="1">
      <alignment horizontal="center" vertical="center" wrapText="1"/>
    </xf>
    <xf numFmtId="166" fontId="38" fillId="2" borderId="8" xfId="0" applyNumberFormat="1" applyFont="1" applyFill="1" applyBorder="1" applyAlignment="1">
      <alignment horizontal="right" vertical="center" wrapText="1"/>
    </xf>
    <xf numFmtId="0" fontId="60" fillId="2" borderId="0" xfId="0" applyFont="1" applyFill="1" applyAlignment="1">
      <alignment horizontal="left"/>
    </xf>
    <xf numFmtId="166" fontId="95" fillId="2" borderId="0" xfId="0" applyNumberFormat="1" applyFont="1" applyFill="1"/>
    <xf numFmtId="166" fontId="38" fillId="2" borderId="22" xfId="0" applyNumberFormat="1" applyFont="1" applyFill="1" applyBorder="1" applyAlignment="1">
      <alignment horizontal="right" vertical="center" wrapText="1"/>
    </xf>
    <xf numFmtId="166" fontId="38" fillId="2" borderId="4" xfId="0" applyNumberFormat="1" applyFont="1" applyFill="1" applyBorder="1" applyAlignment="1">
      <alignment horizontal="right" vertical="center" wrapText="1"/>
    </xf>
    <xf numFmtId="166" fontId="38" fillId="0" borderId="22" xfId="0" applyNumberFormat="1" applyFont="1" applyFill="1" applyBorder="1" applyAlignment="1">
      <alignment horizontal="right" vertical="center" wrapText="1"/>
    </xf>
    <xf numFmtId="172" fontId="53" fillId="0" borderId="0" xfId="9" applyNumberFormat="1" applyFont="1" applyAlignment="1"/>
    <xf numFmtId="165" fontId="53" fillId="0" borderId="0" xfId="10" applyNumberFormat="1" applyFont="1" applyAlignment="1"/>
    <xf numFmtId="165" fontId="53" fillId="0" borderId="0" xfId="10" applyNumberFormat="1" applyFont="1"/>
    <xf numFmtId="172" fontId="60" fillId="0" borderId="1" xfId="9" applyNumberFormat="1" applyFont="1" applyBorder="1" applyAlignment="1">
      <alignment horizontal="center" vertical="center" wrapText="1"/>
    </xf>
    <xf numFmtId="165" fontId="60" fillId="0" borderId="1" xfId="10" applyNumberFormat="1" applyFont="1" applyBorder="1" applyAlignment="1">
      <alignment horizontal="center" vertical="center" wrapText="1"/>
    </xf>
    <xf numFmtId="0" fontId="53"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172" fontId="7" fillId="0" borderId="1" xfId="9" applyNumberFormat="1" applyFont="1" applyBorder="1" applyAlignment="1">
      <alignment horizontal="right" vertical="center" wrapText="1"/>
    </xf>
    <xf numFmtId="165" fontId="7" fillId="0" borderId="1" xfId="10" applyNumberFormat="1" applyFont="1" applyBorder="1" applyAlignment="1">
      <alignment horizontal="right" vertical="center" wrapText="1"/>
    </xf>
    <xf numFmtId="4" fontId="7" fillId="0" borderId="1" xfId="0" applyNumberFormat="1" applyFont="1" applyBorder="1" applyAlignment="1">
      <alignment vertical="center" wrapText="1"/>
    </xf>
    <xf numFmtId="172" fontId="53" fillId="0" borderId="0" xfId="0" applyNumberFormat="1" applyFont="1"/>
    <xf numFmtId="166" fontId="7" fillId="0" borderId="1" xfId="0" applyNumberFormat="1" applyFont="1" applyBorder="1" applyAlignment="1">
      <alignment vertical="center" wrapText="1"/>
    </xf>
    <xf numFmtId="0" fontId="8" fillId="0" borderId="0" xfId="0" applyFont="1" applyAlignment="1">
      <alignment vertical="center" wrapText="1"/>
    </xf>
    <xf numFmtId="165" fontId="8" fillId="0" borderId="0" xfId="10" applyNumberFormat="1" applyFont="1" applyAlignment="1">
      <alignment vertical="center" wrapText="1"/>
    </xf>
    <xf numFmtId="165" fontId="8" fillId="0" borderId="0" xfId="10" applyNumberFormat="1" applyFont="1" applyAlignment="1">
      <alignment horizontal="center" vertical="center" wrapText="1"/>
    </xf>
    <xf numFmtId="165" fontId="13" fillId="0" borderId="0" xfId="10" applyNumberFormat="1" applyFont="1"/>
    <xf numFmtId="166" fontId="43" fillId="0" borderId="22" xfId="0" applyNumberFormat="1" applyFont="1" applyFill="1" applyBorder="1" applyAlignment="1">
      <alignment horizontal="right" vertical="center" wrapText="1"/>
    </xf>
    <xf numFmtId="0" fontId="63" fillId="0" borderId="23" xfId="0" applyFont="1" applyBorder="1" applyAlignment="1">
      <alignment horizontal="center" vertical="center" wrapText="1"/>
    </xf>
    <xf numFmtId="0" fontId="6" fillId="0" borderId="22" xfId="0" applyFont="1" applyBorder="1" applyAlignment="1">
      <alignment horizontal="justify" vertical="center" wrapText="1"/>
    </xf>
    <xf numFmtId="166" fontId="39" fillId="0" borderId="22" xfId="0" applyNumberFormat="1" applyFont="1" applyBorder="1" applyAlignment="1">
      <alignment horizontal="right" vertical="center" wrapText="1"/>
    </xf>
    <xf numFmtId="166" fontId="6" fillId="0" borderId="22" xfId="0" applyNumberFormat="1" applyFont="1" applyBorder="1" applyAlignment="1">
      <alignment horizontal="right" vertical="center" wrapText="1"/>
    </xf>
    <xf numFmtId="174" fontId="6" fillId="0" borderId="22" xfId="10" applyNumberFormat="1" applyFont="1" applyBorder="1" applyAlignment="1">
      <alignment horizontal="center" vertical="center" wrapText="1"/>
    </xf>
    <xf numFmtId="9" fontId="107" fillId="0" borderId="9" xfId="64" applyFont="1" applyBorder="1" applyAlignment="1">
      <alignment horizontal="right" vertical="center" wrapText="1"/>
    </xf>
    <xf numFmtId="9" fontId="32" fillId="0" borderId="22" xfId="64" applyFont="1" applyBorder="1" applyAlignment="1">
      <alignment horizontal="right" vertical="center" wrapText="1"/>
    </xf>
    <xf numFmtId="164" fontId="43" fillId="2" borderId="0" xfId="0" applyNumberFormat="1" applyFont="1" applyFill="1"/>
    <xf numFmtId="3" fontId="39" fillId="0" borderId="8" xfId="0" quotePrefix="1" applyNumberFormat="1" applyFont="1" applyFill="1" applyBorder="1" applyAlignment="1">
      <alignment horizontal="center" vertical="center"/>
    </xf>
    <xf numFmtId="3" fontId="38" fillId="2" borderId="22" xfId="0" applyNumberFormat="1" applyFont="1" applyFill="1" applyBorder="1" applyAlignment="1">
      <alignment horizontal="right"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9" fontId="39" fillId="0" borderId="7" xfId="64" applyFont="1" applyFill="1" applyBorder="1" applyAlignment="1">
      <alignment horizontal="right" vertical="center" wrapText="1"/>
    </xf>
    <xf numFmtId="9" fontId="38" fillId="0" borderId="7" xfId="64" applyFont="1" applyFill="1" applyBorder="1" applyAlignment="1">
      <alignment horizontal="right" vertical="center" wrapText="1"/>
    </xf>
    <xf numFmtId="0" fontId="38" fillId="0" borderId="6" xfId="0" applyFont="1" applyBorder="1" applyAlignment="1">
      <alignment horizontal="center" vertical="center" wrapText="1"/>
    </xf>
    <xf numFmtId="0" fontId="6" fillId="0" borderId="6" xfId="0" applyFont="1" applyBorder="1" applyAlignment="1">
      <alignment vertical="center" wrapText="1"/>
    </xf>
    <xf numFmtId="0" fontId="39" fillId="0" borderId="8" xfId="0" applyFont="1" applyBorder="1" applyAlignment="1">
      <alignment horizontal="center" vertical="center" wrapText="1"/>
    </xf>
    <xf numFmtId="0" fontId="6" fillId="0" borderId="8" xfId="0" applyFont="1" applyBorder="1" applyAlignment="1">
      <alignment vertical="center" wrapText="1"/>
    </xf>
    <xf numFmtId="179" fontId="39" fillId="0" borderId="8" xfId="9" applyNumberFormat="1" applyFont="1" applyFill="1" applyBorder="1" applyAlignment="1">
      <alignment horizontal="center" vertical="center" wrapText="1"/>
    </xf>
    <xf numFmtId="172" fontId="39" fillId="0" borderId="6" xfId="9" applyNumberFormat="1" applyFont="1" applyBorder="1" applyAlignment="1">
      <alignment horizontal="right" vertical="center" wrapText="1"/>
    </xf>
    <xf numFmtId="172" fontId="39" fillId="0" borderId="6" xfId="9" applyNumberFormat="1" applyFont="1" applyFill="1" applyBorder="1" applyAlignment="1">
      <alignment horizontal="right" vertical="center" wrapText="1"/>
    </xf>
    <xf numFmtId="9" fontId="6" fillId="0" borderId="8" xfId="64" applyFont="1" applyBorder="1" applyAlignment="1">
      <alignment horizontal="right" vertical="center" wrapText="1"/>
    </xf>
    <xf numFmtId="9" fontId="32" fillId="0" borderId="8" xfId="64" applyFont="1" applyBorder="1" applyAlignment="1">
      <alignment horizontal="right" vertical="center" wrapText="1"/>
    </xf>
    <xf numFmtId="9" fontId="6" fillId="0" borderId="6" xfId="64" applyFont="1" applyBorder="1" applyAlignment="1">
      <alignment horizontal="right" vertical="center" wrapText="1"/>
    </xf>
    <xf numFmtId="3" fontId="7" fillId="0" borderId="1" xfId="1" applyNumberFormat="1" applyFont="1" applyBorder="1" applyAlignment="1">
      <alignment horizontal="center" vertical="center"/>
    </xf>
    <xf numFmtId="166" fontId="7" fillId="0" borderId="1" xfId="1" applyNumberFormat="1" applyFont="1" applyBorder="1" applyAlignment="1">
      <alignment horizontal="center" vertical="center"/>
    </xf>
    <xf numFmtId="0" fontId="116" fillId="0" borderId="1" xfId="0" applyFont="1" applyBorder="1" applyAlignment="1">
      <alignment horizontal="center" vertical="center" wrapText="1"/>
    </xf>
    <xf numFmtId="166" fontId="112" fillId="0" borderId="9" xfId="0" applyNumberFormat="1" applyFont="1" applyBorder="1" applyAlignment="1">
      <alignment horizontal="right" vertical="center" wrapText="1"/>
    </xf>
    <xf numFmtId="166" fontId="112" fillId="0" borderId="7" xfId="0" applyNumberFormat="1" applyFont="1" applyBorder="1" applyAlignment="1">
      <alignment horizontal="right" vertical="center" wrapText="1"/>
    </xf>
    <xf numFmtId="166" fontId="112" fillId="0" borderId="17" xfId="0" applyNumberFormat="1" applyFont="1" applyBorder="1" applyAlignment="1">
      <alignment horizontal="right"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0" xfId="0" applyFont="1"/>
    <xf numFmtId="166" fontId="131" fillId="0" borderId="1" xfId="0" applyNumberFormat="1" applyFont="1" applyBorder="1" applyAlignment="1">
      <alignment horizontal="right" vertical="center" wrapText="1"/>
    </xf>
    <xf numFmtId="9" fontId="131" fillId="0" borderId="1" xfId="64" applyFont="1" applyBorder="1" applyAlignment="1">
      <alignment horizontal="center" vertical="center" wrapText="1"/>
    </xf>
    <xf numFmtId="166" fontId="131" fillId="0" borderId="1" xfId="0" applyNumberFormat="1" applyFont="1" applyFill="1" applyBorder="1" applyAlignment="1">
      <alignment horizontal="right" vertical="center" wrapText="1"/>
    </xf>
    <xf numFmtId="1" fontId="131" fillId="0" borderId="1" xfId="0" applyNumberFormat="1" applyFont="1" applyFill="1" applyBorder="1" applyAlignment="1">
      <alignment horizontal="center" vertical="center" wrapText="1"/>
    </xf>
    <xf numFmtId="166" fontId="132" fillId="0" borderId="9" xfId="0" applyNumberFormat="1" applyFont="1" applyBorder="1" applyAlignment="1">
      <alignment horizontal="right" vertical="center" wrapText="1"/>
    </xf>
    <xf numFmtId="9" fontId="132" fillId="0" borderId="9" xfId="64" applyFont="1" applyBorder="1" applyAlignment="1">
      <alignment horizontal="center" vertical="center" wrapText="1"/>
    </xf>
    <xf numFmtId="166" fontId="132" fillId="0" borderId="7" xfId="0" applyNumberFormat="1" applyFont="1" applyBorder="1" applyAlignment="1">
      <alignment horizontal="right" vertical="center" wrapText="1"/>
    </xf>
    <xf numFmtId="1" fontId="132" fillId="0" borderId="7" xfId="0" applyNumberFormat="1" applyFont="1" applyBorder="1" applyAlignment="1">
      <alignment horizontal="center" vertical="center" wrapText="1"/>
    </xf>
    <xf numFmtId="166" fontId="132" fillId="2" borderId="7" xfId="0" applyNumberFormat="1" applyFont="1" applyFill="1" applyBorder="1" applyAlignment="1">
      <alignment horizontal="right" vertical="center" wrapText="1"/>
    </xf>
    <xf numFmtId="166" fontId="132" fillId="0" borderId="17" xfId="0" applyNumberFormat="1" applyFont="1" applyBorder="1" applyAlignment="1">
      <alignment horizontal="right" vertical="center" wrapText="1"/>
    </xf>
    <xf numFmtId="1" fontId="132" fillId="0" borderId="17" xfId="0" applyNumberFormat="1" applyFont="1" applyBorder="1" applyAlignment="1">
      <alignment horizontal="center" vertical="center" wrapText="1"/>
    </xf>
    <xf numFmtId="166" fontId="131" fillId="2" borderId="1" xfId="0" applyNumberFormat="1" applyFont="1" applyFill="1" applyBorder="1" applyAlignment="1">
      <alignment horizontal="right" vertical="center" wrapText="1"/>
    </xf>
    <xf numFmtId="166" fontId="132" fillId="2" borderId="9" xfId="0" applyNumberFormat="1" applyFont="1" applyFill="1" applyBorder="1" applyAlignment="1">
      <alignment horizontal="right" vertical="center" wrapText="1"/>
    </xf>
    <xf numFmtId="166" fontId="132" fillId="2" borderId="17" xfId="0" applyNumberFormat="1" applyFont="1" applyFill="1" applyBorder="1" applyAlignment="1">
      <alignment horizontal="right" vertical="center" wrapText="1"/>
    </xf>
    <xf numFmtId="1" fontId="131" fillId="0" borderId="1" xfId="0" applyNumberFormat="1" applyFont="1" applyBorder="1" applyAlignment="1">
      <alignment horizontal="center" vertical="center" wrapText="1"/>
    </xf>
    <xf numFmtId="166" fontId="116" fillId="2" borderId="1" xfId="0" applyNumberFormat="1" applyFont="1" applyFill="1" applyBorder="1" applyAlignment="1">
      <alignment horizontal="right" vertical="center" wrapText="1"/>
    </xf>
    <xf numFmtId="1" fontId="116" fillId="0" borderId="1" xfId="0" applyNumberFormat="1" applyFont="1" applyBorder="1" applyAlignment="1">
      <alignment horizontal="center" vertical="center" wrapText="1"/>
    </xf>
    <xf numFmtId="166"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1" fontId="60" fillId="0" borderId="1" xfId="0" applyNumberFormat="1" applyFont="1" applyBorder="1" applyAlignment="1">
      <alignment horizontal="center" vertical="center" wrapText="1"/>
    </xf>
    <xf numFmtId="1" fontId="60" fillId="0" borderId="9" xfId="0" applyNumberFormat="1" applyFont="1" applyBorder="1" applyAlignment="1">
      <alignment horizontal="center" vertical="center" wrapText="1"/>
    </xf>
    <xf numFmtId="1" fontId="60" fillId="0" borderId="7" xfId="0" applyNumberFormat="1" applyFont="1" applyBorder="1" applyAlignment="1">
      <alignment horizontal="center" vertical="center" wrapText="1"/>
    </xf>
    <xf numFmtId="1" fontId="53" fillId="0" borderId="7" xfId="0" applyNumberFormat="1" applyFont="1" applyBorder="1" applyAlignment="1">
      <alignment horizontal="center" vertical="center" wrapText="1"/>
    </xf>
    <xf numFmtId="166" fontId="60" fillId="0" borderId="17" xfId="0" applyNumberFormat="1" applyFont="1" applyFill="1" applyBorder="1" applyAlignment="1">
      <alignment horizontal="right" vertical="center" wrapText="1"/>
    </xf>
    <xf numFmtId="1" fontId="53" fillId="0" borderId="17" xfId="0" applyNumberFormat="1" applyFont="1" applyBorder="1" applyAlignment="1">
      <alignment horizontal="center" vertical="center" wrapText="1"/>
    </xf>
    <xf numFmtId="4" fontId="60" fillId="0" borderId="1" xfId="0" applyNumberFormat="1" applyFont="1" applyBorder="1" applyAlignment="1">
      <alignment horizontal="right" vertical="center" wrapText="1"/>
    </xf>
    <xf numFmtId="166" fontId="60" fillId="2" borderId="7" xfId="0" applyNumberFormat="1" applyFont="1" applyFill="1" applyBorder="1" applyAlignment="1">
      <alignment horizontal="right" vertical="center" wrapText="1"/>
    </xf>
    <xf numFmtId="166" fontId="53" fillId="2" borderId="7" xfId="0" applyNumberFormat="1" applyFont="1" applyFill="1" applyBorder="1" applyAlignment="1">
      <alignment horizontal="right" vertical="center" wrapText="1"/>
    </xf>
    <xf numFmtId="0" fontId="38" fillId="0" borderId="9" xfId="0" applyFont="1" applyBorder="1" applyAlignment="1">
      <alignment horizontal="center" vertical="center" wrapText="1"/>
    </xf>
    <xf numFmtId="0" fontId="38" fillId="0" borderId="9" xfId="0" applyFont="1" applyBorder="1" applyAlignment="1">
      <alignment horizontal="justify" vertical="center" wrapText="1"/>
    </xf>
    <xf numFmtId="0" fontId="39" fillId="0" borderId="7" xfId="0" applyFont="1" applyBorder="1" applyAlignment="1">
      <alignment horizontal="center" vertical="center" wrapText="1"/>
    </xf>
    <xf numFmtId="0" fontId="60" fillId="0" borderId="1" xfId="0" applyFont="1" applyBorder="1" applyAlignment="1">
      <alignment vertical="center" wrapText="1"/>
    </xf>
    <xf numFmtId="166" fontId="60" fillId="0" borderId="1" xfId="0" applyNumberFormat="1" applyFont="1" applyBorder="1" applyAlignment="1">
      <alignment horizontal="center" vertical="center" wrapText="1"/>
    </xf>
    <xf numFmtId="0" fontId="53" fillId="0" borderId="0" xfId="0" applyFont="1" applyAlignment="1">
      <alignment horizontal="center"/>
    </xf>
    <xf numFmtId="0" fontId="94" fillId="0" borderId="0" xfId="0" applyFont="1" applyAlignment="1">
      <alignment horizontal="center" vertical="center" wrapText="1"/>
    </xf>
    <xf numFmtId="3" fontId="38" fillId="0" borderId="1" xfId="0" applyNumberFormat="1" applyFont="1" applyBorder="1" applyAlignment="1">
      <alignment horizontal="right" vertical="center" wrapText="1"/>
    </xf>
    <xf numFmtId="3" fontId="54" fillId="0" borderId="1" xfId="0" applyNumberFormat="1" applyFont="1" applyFill="1" applyBorder="1" applyAlignment="1">
      <alignment horizontal="right" vertical="center" wrapText="1"/>
    </xf>
    <xf numFmtId="9" fontId="54" fillId="0" borderId="1" xfId="64" applyFont="1" applyBorder="1" applyAlignment="1">
      <alignment horizontal="right" vertical="center" wrapText="1"/>
    </xf>
    <xf numFmtId="0" fontId="28" fillId="0" borderId="6" xfId="0" applyFont="1" applyBorder="1" applyAlignment="1">
      <alignment horizontal="center" vertical="center" wrapText="1"/>
    </xf>
    <xf numFmtId="3" fontId="38" fillId="0" borderId="6" xfId="0" applyNumberFormat="1" applyFont="1" applyBorder="1" applyAlignment="1">
      <alignment horizontal="right" vertical="center" wrapText="1"/>
    </xf>
    <xf numFmtId="166" fontId="32" fillId="0" borderId="6" xfId="0" applyNumberFormat="1" applyFont="1" applyFill="1" applyBorder="1" applyAlignment="1">
      <alignment horizontal="right" vertical="center" wrapText="1"/>
    </xf>
    <xf numFmtId="9" fontId="54" fillId="0" borderId="6" xfId="64" applyFont="1" applyBorder="1" applyAlignment="1">
      <alignment horizontal="right" vertical="center" wrapText="1"/>
    </xf>
    <xf numFmtId="9" fontId="6" fillId="0" borderId="7" xfId="64" applyFont="1" applyBorder="1" applyAlignment="1">
      <alignment horizontal="right" vertical="center" wrapText="1"/>
    </xf>
    <xf numFmtId="166" fontId="61" fillId="0" borderId="7" xfId="0" applyNumberFormat="1" applyFont="1" applyFill="1" applyBorder="1" applyAlignment="1">
      <alignment horizontal="right" vertical="center" wrapText="1"/>
    </xf>
    <xf numFmtId="9" fontId="54" fillId="0" borderId="7" xfId="64" applyFont="1" applyBorder="1" applyAlignment="1">
      <alignment horizontal="right" vertical="center" wrapText="1"/>
    </xf>
    <xf numFmtId="0" fontId="60" fillId="0" borderId="7" xfId="0" applyFont="1" applyBorder="1" applyAlignment="1">
      <alignment vertical="center" wrapText="1"/>
    </xf>
    <xf numFmtId="166" fontId="24" fillId="0" borderId="7" xfId="0" applyNumberFormat="1" applyFont="1" applyFill="1" applyBorder="1" applyAlignment="1">
      <alignment horizontal="right" vertical="center" wrapText="1"/>
    </xf>
    <xf numFmtId="0" fontId="60" fillId="0" borderId="8" xfId="0" applyFont="1" applyBorder="1" applyAlignment="1">
      <alignment horizontal="center" vertical="center" wrapText="1"/>
    </xf>
    <xf numFmtId="3" fontId="38" fillId="0" borderId="8" xfId="0" applyNumberFormat="1" applyFont="1" applyBorder="1" applyAlignment="1">
      <alignment horizontal="right" vertical="center" wrapText="1"/>
    </xf>
    <xf numFmtId="166" fontId="24" fillId="0" borderId="8" xfId="0" applyNumberFormat="1" applyFont="1" applyFill="1" applyBorder="1" applyAlignment="1">
      <alignment horizontal="right" vertical="center" wrapText="1"/>
    </xf>
    <xf numFmtId="9" fontId="54" fillId="0" borderId="8" xfId="64" applyFont="1" applyBorder="1" applyAlignment="1">
      <alignment horizontal="right" vertical="center" wrapText="1"/>
    </xf>
    <xf numFmtId="0" fontId="53" fillId="0" borderId="0" xfId="0" applyFont="1" applyAlignment="1">
      <alignment vertical="center"/>
    </xf>
    <xf numFmtId="166" fontId="7" fillId="0" borderId="7" xfId="0" applyNumberFormat="1" applyFont="1" applyBorder="1" applyAlignment="1">
      <alignment horizontal="right" vertical="center" wrapText="1"/>
    </xf>
    <xf numFmtId="9" fontId="7" fillId="0" borderId="9" xfId="64" applyFont="1" applyBorder="1" applyAlignment="1">
      <alignment vertical="center" wrapText="1"/>
    </xf>
    <xf numFmtId="9" fontId="13" fillId="0" borderId="9" xfId="64" applyFont="1" applyBorder="1" applyAlignment="1">
      <alignment vertical="center" wrapText="1"/>
    </xf>
    <xf numFmtId="9" fontId="7" fillId="0" borderId="8" xfId="64" applyFont="1" applyBorder="1" applyAlignment="1">
      <alignment vertical="center" wrapText="1"/>
    </xf>
    <xf numFmtId="0" fontId="13" fillId="0" borderId="1" xfId="0" applyFont="1" applyBorder="1" applyAlignment="1">
      <alignment horizontal="center" vertical="center" wrapText="1"/>
    </xf>
    <xf numFmtId="3" fontId="60" fillId="0" borderId="9" xfId="0" applyNumberFormat="1" applyFont="1" applyBorder="1" applyAlignment="1">
      <alignment horizontal="right" vertical="center" wrapText="1"/>
    </xf>
    <xf numFmtId="3" fontId="13" fillId="0" borderId="7" xfId="0" applyNumberFormat="1" applyFont="1" applyBorder="1" applyAlignment="1">
      <alignment horizontal="right" vertical="center" wrapText="1"/>
    </xf>
    <xf numFmtId="3" fontId="7" fillId="0" borderId="7"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4" fontId="60" fillId="0" borderId="0" xfId="9" applyFont="1" applyAlignment="1">
      <alignment horizontal="center"/>
    </xf>
    <xf numFmtId="164" fontId="8" fillId="0" borderId="0" xfId="9" applyFont="1" applyAlignment="1">
      <alignment horizontal="right" vertical="center"/>
    </xf>
    <xf numFmtId="164" fontId="7" fillId="0" borderId="1" xfId="9" applyFont="1" applyBorder="1" applyAlignment="1">
      <alignment horizontal="center" vertical="center" wrapText="1"/>
    </xf>
    <xf numFmtId="3" fontId="7" fillId="0" borderId="1" xfId="0" applyNumberFormat="1" applyFont="1" applyBorder="1" applyAlignment="1">
      <alignment horizontal="right" vertical="center" wrapText="1"/>
    </xf>
    <xf numFmtId="9" fontId="7" fillId="0" borderId="1" xfId="64" applyFont="1" applyBorder="1" applyAlignment="1">
      <alignment horizontal="right" vertical="center" wrapText="1"/>
    </xf>
    <xf numFmtId="3" fontId="7" fillId="0" borderId="9" xfId="0" applyNumberFormat="1" applyFont="1" applyBorder="1" applyAlignment="1">
      <alignment horizontal="right" vertical="center" wrapText="1"/>
    </xf>
    <xf numFmtId="164" fontId="7" fillId="0" borderId="9" xfId="9" applyFont="1" applyBorder="1" applyAlignment="1">
      <alignment horizontal="right" vertical="center" wrapText="1"/>
    </xf>
    <xf numFmtId="164" fontId="13" fillId="0" borderId="7" xfId="9" applyFont="1" applyBorder="1" applyAlignment="1">
      <alignment horizontal="right" vertical="center" wrapText="1"/>
    </xf>
    <xf numFmtId="9" fontId="7" fillId="0" borderId="7" xfId="64" applyFont="1" applyBorder="1" applyAlignment="1">
      <alignment horizontal="right" vertical="center" wrapText="1"/>
    </xf>
    <xf numFmtId="0" fontId="13" fillId="2" borderId="7" xfId="0" applyFont="1" applyFill="1" applyBorder="1" applyAlignment="1">
      <alignment vertical="center" wrapText="1"/>
    </xf>
    <xf numFmtId="3" fontId="13" fillId="2" borderId="7" xfId="0" applyNumberFormat="1" applyFont="1" applyFill="1" applyBorder="1" applyAlignment="1">
      <alignment horizontal="right" vertical="center" wrapText="1"/>
    </xf>
    <xf numFmtId="9" fontId="13" fillId="0" borderId="7" xfId="64" applyFont="1" applyBorder="1" applyAlignment="1">
      <alignment horizontal="right" vertical="center" wrapText="1"/>
    </xf>
    <xf numFmtId="3" fontId="53" fillId="0" borderId="17" xfId="10" applyNumberFormat="1" applyFont="1" applyBorder="1" applyAlignment="1">
      <alignment horizontal="right" vertical="center" wrapText="1"/>
    </xf>
    <xf numFmtId="164" fontId="7" fillId="0" borderId="7" xfId="9" applyFont="1" applyBorder="1" applyAlignment="1">
      <alignment horizontal="right" vertical="center" wrapText="1"/>
    </xf>
    <xf numFmtId="3" fontId="7" fillId="0" borderId="17" xfId="0" applyNumberFormat="1" applyFont="1" applyBorder="1" applyAlignment="1">
      <alignment horizontal="right" vertical="center" wrapText="1"/>
    </xf>
    <xf numFmtId="164" fontId="7" fillId="0" borderId="17" xfId="9" applyFont="1" applyBorder="1" applyAlignment="1">
      <alignment horizontal="right" vertical="center" wrapText="1"/>
    </xf>
    <xf numFmtId="9" fontId="7" fillId="0" borderId="23" xfId="64" applyFont="1" applyBorder="1" applyAlignment="1">
      <alignment horizontal="right" vertical="center" wrapText="1"/>
    </xf>
    <xf numFmtId="164" fontId="13" fillId="0" borderId="9" xfId="9" applyFont="1" applyBorder="1" applyAlignment="1">
      <alignment horizontal="right" vertical="center" wrapText="1"/>
    </xf>
    <xf numFmtId="0" fontId="8" fillId="0" borderId="17" xfId="0" applyFont="1" applyBorder="1" applyAlignment="1">
      <alignment horizontal="center" vertical="center" wrapText="1"/>
    </xf>
    <xf numFmtId="0" fontId="8" fillId="0" borderId="17" xfId="0" applyFont="1" applyBorder="1" applyAlignment="1">
      <alignment vertical="center" wrapText="1"/>
    </xf>
    <xf numFmtId="3" fontId="8" fillId="0" borderId="17" xfId="0" applyNumberFormat="1" applyFont="1" applyBorder="1" applyAlignment="1">
      <alignment horizontal="right" vertical="center" wrapText="1"/>
    </xf>
    <xf numFmtId="0" fontId="74" fillId="0" borderId="0" xfId="0" applyFont="1"/>
    <xf numFmtId="9" fontId="7" fillId="0" borderId="8" xfId="64" applyFont="1" applyBorder="1" applyAlignment="1">
      <alignment horizontal="right" vertical="center" wrapText="1"/>
    </xf>
    <xf numFmtId="164" fontId="53" fillId="0" borderId="0" xfId="9" applyFont="1"/>
    <xf numFmtId="0" fontId="60" fillId="0" borderId="0" xfId="0" applyFont="1" applyAlignment="1">
      <alignment vertical="center"/>
    </xf>
    <xf numFmtId="166" fontId="53" fillId="0" borderId="0" xfId="0" applyNumberFormat="1" applyFont="1" applyAlignment="1">
      <alignment vertical="center"/>
    </xf>
    <xf numFmtId="3" fontId="116" fillId="0" borderId="1" xfId="0" applyNumberFormat="1" applyFont="1" applyBorder="1" applyAlignment="1">
      <alignment horizontal="right" vertical="center" wrapText="1"/>
    </xf>
    <xf numFmtId="3" fontId="116" fillId="0" borderId="1" xfId="0" applyNumberFormat="1" applyFont="1" applyFill="1" applyBorder="1" applyAlignment="1">
      <alignment horizontal="right" vertical="center" wrapText="1"/>
    </xf>
    <xf numFmtId="3" fontId="112" fillId="0" borderId="9" xfId="0" applyNumberFormat="1" applyFont="1" applyBorder="1" applyAlignment="1">
      <alignment horizontal="right" vertical="center" wrapText="1"/>
    </xf>
    <xf numFmtId="3" fontId="112" fillId="0" borderId="7" xfId="0" applyNumberFormat="1" applyFont="1" applyBorder="1" applyAlignment="1">
      <alignment horizontal="right" vertical="center" wrapText="1"/>
    </xf>
    <xf numFmtId="3" fontId="112" fillId="0" borderId="17" xfId="0" applyNumberFormat="1" applyFont="1" applyBorder="1" applyAlignment="1">
      <alignment horizontal="right" vertical="center" wrapText="1"/>
    </xf>
    <xf numFmtId="3" fontId="13" fillId="0" borderId="1" xfId="0" applyNumberFormat="1" applyFont="1" applyBorder="1" applyAlignment="1">
      <alignment horizontal="center" vertical="center" wrapText="1"/>
    </xf>
    <xf numFmtId="164" fontId="13" fillId="0" borderId="1" xfId="9" applyFont="1" applyBorder="1" applyAlignment="1">
      <alignment horizontal="center" vertical="center" wrapText="1"/>
    </xf>
    <xf numFmtId="3" fontId="28" fillId="0" borderId="1" xfId="0" applyNumberFormat="1" applyFont="1" applyBorder="1" applyAlignment="1">
      <alignment horizontal="right" vertical="center" wrapText="1"/>
    </xf>
    <xf numFmtId="0" fontId="53" fillId="0"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174" fontId="53" fillId="2" borderId="1" xfId="10" applyNumberFormat="1" applyFont="1" applyFill="1" applyBorder="1" applyAlignment="1">
      <alignment horizontal="right" vertical="center" wrapText="1"/>
    </xf>
    <xf numFmtId="0" fontId="29"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5" fillId="0" borderId="1" xfId="0" applyFont="1" applyBorder="1" applyAlignment="1">
      <alignment wrapText="1"/>
    </xf>
    <xf numFmtId="166" fontId="27" fillId="0" borderId="1" xfId="0" applyNumberFormat="1" applyFont="1" applyBorder="1" applyAlignment="1">
      <alignment horizontal="right" vertical="center" wrapText="1"/>
    </xf>
    <xf numFmtId="3" fontId="27" fillId="0" borderId="1" xfId="0" applyNumberFormat="1" applyFont="1" applyBorder="1" applyAlignment="1">
      <alignment horizontal="right" vertical="center" wrapText="1"/>
    </xf>
    <xf numFmtId="174" fontId="5" fillId="0" borderId="1" xfId="10" applyNumberFormat="1" applyFont="1" applyBorder="1" applyAlignment="1">
      <alignment horizontal="right" vertical="center" wrapText="1"/>
    </xf>
    <xf numFmtId="166" fontId="53" fillId="0" borderId="1" xfId="0" applyNumberFormat="1" applyFont="1" applyBorder="1" applyAlignment="1">
      <alignment horizontal="right" vertical="center" wrapText="1"/>
    </xf>
    <xf numFmtId="0" fontId="51" fillId="0" borderId="8" xfId="0" applyFont="1" applyBorder="1" applyAlignment="1">
      <alignment horizontal="center" vertical="center" wrapText="1"/>
    </xf>
    <xf numFmtId="0" fontId="53" fillId="0" borderId="8" xfId="0" applyFont="1" applyBorder="1" applyAlignment="1">
      <alignment horizontal="justify" vertical="center" wrapText="1"/>
    </xf>
    <xf numFmtId="0" fontId="28" fillId="0" borderId="1" xfId="0" applyFont="1" applyBorder="1" applyAlignment="1">
      <alignment horizontal="center" vertical="center" wrapText="1"/>
    </xf>
    <xf numFmtId="0" fontId="27" fillId="0" borderId="1" xfId="0" applyFont="1" applyBorder="1" applyAlignment="1">
      <alignment horizontal="center" vertical="center" wrapText="1"/>
    </xf>
    <xf numFmtId="175" fontId="28" fillId="0" borderId="1" xfId="9" applyNumberFormat="1" applyFont="1" applyBorder="1" applyAlignment="1">
      <alignment horizontal="center" vertical="center" wrapText="1"/>
    </xf>
    <xf numFmtId="0" fontId="10" fillId="0" borderId="22" xfId="0" applyFont="1" applyBorder="1" applyAlignment="1">
      <alignment vertical="center" wrapText="1"/>
    </xf>
    <xf numFmtId="0" fontId="27" fillId="0" borderId="22" xfId="0" applyFont="1" applyBorder="1" applyAlignment="1">
      <alignment vertical="center" wrapText="1"/>
    </xf>
    <xf numFmtId="0" fontId="8" fillId="2" borderId="22" xfId="0" applyFont="1" applyFill="1" applyBorder="1" applyAlignment="1">
      <alignment vertical="center" wrapText="1"/>
    </xf>
    <xf numFmtId="0" fontId="11" fillId="0" borderId="22" xfId="0" applyFont="1" applyBorder="1" applyAlignment="1">
      <alignment vertical="center" wrapText="1"/>
    </xf>
    <xf numFmtId="167" fontId="89" fillId="0" borderId="22" xfId="10" applyNumberFormat="1" applyFont="1" applyBorder="1" applyAlignment="1">
      <alignment vertical="center"/>
    </xf>
    <xf numFmtId="169" fontId="8" fillId="0" borderId="22" xfId="12" applyNumberFormat="1" applyFont="1" applyBorder="1" applyAlignment="1">
      <alignment horizontal="justify" vertical="center" wrapText="1"/>
    </xf>
    <xf numFmtId="0" fontId="29" fillId="0" borderId="22" xfId="0" applyFont="1" applyBorder="1" applyAlignment="1">
      <alignment vertical="center" wrapText="1"/>
    </xf>
    <xf numFmtId="0" fontId="29" fillId="0" borderId="22" xfId="0" applyFont="1" applyBorder="1" applyAlignment="1">
      <alignment vertical="center"/>
    </xf>
    <xf numFmtId="3" fontId="8" fillId="0" borderId="1" xfId="1" applyNumberFormat="1" applyFont="1" applyBorder="1" applyAlignment="1">
      <alignment horizontal="center" vertical="center"/>
    </xf>
    <xf numFmtId="174" fontId="8" fillId="0" borderId="1" xfId="10" applyNumberFormat="1" applyFont="1" applyBorder="1" applyAlignment="1">
      <alignment horizontal="center" vertical="center"/>
    </xf>
    <xf numFmtId="172" fontId="74" fillId="0" borderId="0" xfId="9" applyNumberFormat="1" applyFont="1" applyAlignment="1">
      <alignment horizontal="center"/>
    </xf>
    <xf numFmtId="3" fontId="74" fillId="0" borderId="0" xfId="1" applyNumberFormat="1" applyFont="1" applyAlignment="1">
      <alignment horizontal="center"/>
    </xf>
    <xf numFmtId="3" fontId="5" fillId="0" borderId="22" xfId="0" applyNumberFormat="1" applyFont="1" applyFill="1" applyBorder="1" applyAlignment="1">
      <alignment vertical="center" wrapText="1"/>
    </xf>
    <xf numFmtId="3" fontId="53" fillId="0" borderId="9" xfId="0" applyNumberFormat="1" applyFont="1" applyBorder="1" applyAlignment="1">
      <alignment vertical="center" wrapText="1"/>
    </xf>
    <xf numFmtId="3" fontId="53" fillId="0" borderId="22" xfId="0" applyNumberFormat="1" applyFont="1" applyBorder="1" applyAlignment="1">
      <alignment vertical="center" wrapText="1"/>
    </xf>
    <xf numFmtId="166" fontId="8" fillId="2" borderId="22" xfId="2" applyNumberFormat="1" applyFont="1" applyFill="1" applyBorder="1" applyAlignment="1">
      <alignment vertical="center" wrapText="1"/>
    </xf>
    <xf numFmtId="0" fontId="39" fillId="0" borderId="22" xfId="0" applyFont="1" applyBorder="1" applyAlignment="1">
      <alignment horizontal="center" vertical="center" wrapText="1"/>
    </xf>
    <xf numFmtId="166" fontId="94" fillId="0" borderId="0" xfId="1" applyNumberFormat="1" applyFont="1" applyAlignment="1">
      <alignment horizontal="center"/>
    </xf>
    <xf numFmtId="166" fontId="60" fillId="0" borderId="0" xfId="1" applyNumberFormat="1" applyFont="1" applyAlignment="1">
      <alignment vertical="center"/>
    </xf>
    <xf numFmtId="180" fontId="13" fillId="0" borderId="0" xfId="1" applyNumberFormat="1" applyFont="1"/>
    <xf numFmtId="172" fontId="60" fillId="0" borderId="0" xfId="9" applyNumberFormat="1" applyFont="1" applyAlignment="1">
      <alignment vertical="center"/>
    </xf>
    <xf numFmtId="3" fontId="60" fillId="0" borderId="0" xfId="1" applyNumberFormat="1" applyFont="1" applyAlignment="1">
      <alignment vertical="center"/>
    </xf>
    <xf numFmtId="0" fontId="13" fillId="0" borderId="22" xfId="0" applyFont="1" applyFill="1" applyBorder="1" applyAlignment="1">
      <alignment vertical="center" wrapText="1"/>
    </xf>
    <xf numFmtId="3" fontId="13" fillId="0" borderId="22" xfId="1" applyNumberFormat="1" applyFont="1" applyBorder="1" applyAlignment="1">
      <alignment horizontal="center" vertical="center"/>
    </xf>
    <xf numFmtId="166" fontId="13" fillId="2" borderId="22" xfId="2" applyNumberFormat="1" applyFont="1" applyFill="1" applyBorder="1" applyAlignment="1">
      <alignment vertical="center" wrapText="1"/>
    </xf>
    <xf numFmtId="3" fontId="7" fillId="0" borderId="22" xfId="1" applyNumberFormat="1" applyFont="1" applyBorder="1" applyAlignment="1">
      <alignment horizontal="center" vertical="center"/>
    </xf>
    <xf numFmtId="3" fontId="7" fillId="0" borderId="22" xfId="1" applyNumberFormat="1" applyFont="1" applyBorder="1" applyAlignment="1">
      <alignment horizontal="justify" vertical="center"/>
    </xf>
    <xf numFmtId="166" fontId="7" fillId="0" borderId="22" xfId="1" applyNumberFormat="1" applyFont="1" applyBorder="1" applyAlignment="1">
      <alignment horizontal="right" vertical="center"/>
    </xf>
    <xf numFmtId="3" fontId="13" fillId="0" borderId="22" xfId="1" applyNumberFormat="1" applyFont="1" applyBorder="1" applyAlignment="1">
      <alignment horizontal="justify" vertical="center"/>
    </xf>
    <xf numFmtId="3" fontId="8" fillId="0" borderId="22" xfId="1" applyNumberFormat="1" applyFont="1" applyBorder="1" applyAlignment="1">
      <alignment horizontal="center" vertical="center"/>
    </xf>
    <xf numFmtId="3" fontId="8" fillId="0" borderId="22" xfId="1" applyNumberFormat="1" applyFont="1" applyBorder="1" applyAlignment="1">
      <alignment horizontal="justify" vertical="center"/>
    </xf>
    <xf numFmtId="166" fontId="8" fillId="0" borderId="22" xfId="1" applyNumberFormat="1" applyFont="1" applyBorder="1" applyAlignment="1">
      <alignment horizontal="right" vertical="center"/>
    </xf>
    <xf numFmtId="166" fontId="7" fillId="2" borderId="22" xfId="2" applyNumberFormat="1" applyFont="1" applyFill="1" applyBorder="1" applyAlignment="1">
      <alignment vertical="center" wrapText="1"/>
    </xf>
    <xf numFmtId="3" fontId="13" fillId="0" borderId="22" xfId="1" applyNumberFormat="1" applyFont="1" applyBorder="1" applyAlignment="1">
      <alignment horizontal="justify" vertical="center" wrapText="1"/>
    </xf>
    <xf numFmtId="166" fontId="13" fillId="0" borderId="22" xfId="1" applyNumberFormat="1" applyFont="1" applyBorder="1" applyAlignment="1">
      <alignment vertical="center" wrapText="1"/>
    </xf>
    <xf numFmtId="3" fontId="7" fillId="0" borderId="22" xfId="1" applyNumberFormat="1" applyFont="1" applyBorder="1" applyAlignment="1">
      <alignment horizontal="justify" vertical="center" wrapText="1"/>
    </xf>
    <xf numFmtId="166" fontId="7" fillId="0" borderId="22" xfId="1" applyNumberFormat="1" applyFont="1" applyBorder="1" applyAlignment="1">
      <alignment vertical="center" wrapText="1"/>
    </xf>
    <xf numFmtId="165" fontId="22" fillId="0" borderId="0" xfId="10" applyNumberFormat="1" applyFont="1" applyAlignment="1">
      <alignment horizontal="right" wrapText="1"/>
    </xf>
    <xf numFmtId="174" fontId="39" fillId="0" borderId="22" xfId="10" applyNumberFormat="1" applyFont="1" applyBorder="1" applyAlignment="1">
      <alignment horizontal="center" vertical="center" wrapText="1"/>
    </xf>
    <xf numFmtId="43" fontId="5" fillId="0" borderId="0" xfId="0" applyNumberFormat="1" applyFont="1"/>
    <xf numFmtId="166" fontId="38" fillId="0" borderId="22" xfId="9" applyNumberFormat="1" applyFont="1" applyFill="1" applyBorder="1" applyAlignment="1">
      <alignment horizontal="right" vertical="center" wrapText="1"/>
    </xf>
    <xf numFmtId="0" fontId="39" fillId="2" borderId="22" xfId="60" applyFont="1" applyFill="1" applyBorder="1" applyAlignment="1">
      <alignment horizontal="justify" vertical="center" wrapText="1"/>
    </xf>
    <xf numFmtId="166" fontId="39" fillId="0" borderId="22" xfId="9" applyNumberFormat="1" applyFont="1" applyFill="1" applyBorder="1" applyAlignment="1">
      <alignment horizontal="right" vertical="center" wrapText="1"/>
    </xf>
    <xf numFmtId="0" fontId="39" fillId="2" borderId="22" xfId="0" applyFont="1" applyFill="1" applyBorder="1" applyAlignment="1">
      <alignment horizontal="justify" vertical="center" wrapText="1"/>
    </xf>
    <xf numFmtId="0" fontId="38" fillId="0" borderId="22" xfId="0" applyFont="1" applyBorder="1" applyAlignment="1">
      <alignment horizontal="center" vertical="center" wrapText="1"/>
    </xf>
    <xf numFmtId="0" fontId="38" fillId="0" borderId="22" xfId="0" applyFont="1" applyBorder="1" applyAlignment="1">
      <alignment vertical="center" wrapText="1"/>
    </xf>
    <xf numFmtId="166" fontId="38" fillId="0" borderId="22" xfId="0" applyNumberFormat="1" applyFont="1" applyBorder="1" applyAlignment="1">
      <alignment horizontal="right" vertical="center" wrapText="1"/>
    </xf>
    <xf numFmtId="0" fontId="39" fillId="0" borderId="22" xfId="0" applyFont="1" applyBorder="1"/>
    <xf numFmtId="0" fontId="39" fillId="0" borderId="22" xfId="0" applyFont="1" applyBorder="1" applyAlignment="1">
      <alignment vertical="center" wrapText="1"/>
    </xf>
    <xf numFmtId="178" fontId="39" fillId="0" borderId="22" xfId="9" applyNumberFormat="1" applyFont="1" applyBorder="1" applyAlignment="1">
      <alignment horizontal="center" vertical="center" wrapText="1"/>
    </xf>
    <xf numFmtId="167" fontId="39" fillId="0" borderId="22" xfId="10" applyNumberFormat="1" applyFont="1" applyBorder="1" applyAlignment="1">
      <alignment horizontal="center" vertical="center" wrapText="1"/>
    </xf>
    <xf numFmtId="0" fontId="39" fillId="0" borderId="22" xfId="0" applyFont="1" applyFill="1" applyBorder="1" applyAlignment="1">
      <alignment horizontal="justify" vertical="center" wrapText="1"/>
    </xf>
    <xf numFmtId="3" fontId="13" fillId="0" borderId="7" xfId="0" quotePrefix="1" applyNumberFormat="1" applyFont="1" applyBorder="1" applyAlignment="1">
      <alignment horizontal="right" vertical="center" wrapText="1"/>
    </xf>
    <xf numFmtId="3" fontId="7" fillId="2" borderId="17" xfId="0" applyNumberFormat="1" applyFont="1" applyFill="1" applyBorder="1" applyAlignment="1">
      <alignment horizontal="right" vertical="center" wrapText="1"/>
    </xf>
    <xf numFmtId="0" fontId="53" fillId="0" borderId="32" xfId="0" applyFont="1" applyBorder="1" applyAlignment="1"/>
    <xf numFmtId="0" fontId="7" fillId="0" borderId="1" xfId="0" applyFont="1" applyBorder="1" applyAlignment="1">
      <alignment horizontal="center" vertical="center" wrapText="1"/>
    </xf>
    <xf numFmtId="0" fontId="8" fillId="0" borderId="0" xfId="0" applyFont="1" applyAlignment="1">
      <alignment horizontal="center" vertical="center" wrapText="1"/>
    </xf>
    <xf numFmtId="3" fontId="53" fillId="0" borderId="0" xfId="0" applyNumberFormat="1" applyFont="1"/>
    <xf numFmtId="9" fontId="53" fillId="0" borderId="0" xfId="64" applyFont="1"/>
    <xf numFmtId="183" fontId="7" fillId="0" borderId="1" xfId="10" applyNumberFormat="1" applyFont="1" applyBorder="1" applyAlignment="1">
      <alignment horizontal="right" vertical="center" wrapText="1"/>
    </xf>
    <xf numFmtId="0" fontId="40" fillId="0" borderId="0" xfId="0" applyFont="1" applyAlignment="1">
      <alignment vertical="center"/>
    </xf>
    <xf numFmtId="0" fontId="40" fillId="2" borderId="0" xfId="0" applyFont="1" applyFill="1" applyAlignment="1">
      <alignment vertical="center"/>
    </xf>
    <xf numFmtId="0" fontId="40" fillId="2" borderId="1" xfId="0" applyFont="1" applyFill="1" applyBorder="1" applyAlignment="1">
      <alignment horizontal="center" vertical="center" wrapText="1"/>
    </xf>
    <xf numFmtId="0" fontId="123" fillId="2" borderId="1" xfId="0" applyFont="1" applyFill="1" applyBorder="1" applyAlignment="1">
      <alignment horizontal="center"/>
    </xf>
    <xf numFmtId="166" fontId="123" fillId="2" borderId="0" xfId="0" applyNumberFormat="1" applyFont="1" applyFill="1" applyBorder="1"/>
    <xf numFmtId="0" fontId="123" fillId="2" borderId="0" xfId="0" applyFont="1" applyFill="1" applyBorder="1"/>
    <xf numFmtId="0" fontId="123" fillId="2" borderId="0" xfId="0" applyFont="1" applyFill="1"/>
    <xf numFmtId="0" fontId="7" fillId="0" borderId="0" xfId="0" applyFont="1" applyAlignment="1">
      <alignment horizontal="center" vertical="center" wrapText="1"/>
    </xf>
    <xf numFmtId="0" fontId="8" fillId="0" borderId="0" xfId="0" applyFont="1" applyAlignment="1">
      <alignment horizontal="center" vertical="center" wrapText="1"/>
    </xf>
    <xf numFmtId="4" fontId="7" fillId="0" borderId="1" xfId="0" applyNumberFormat="1" applyFont="1" applyBorder="1" applyAlignment="1">
      <alignment horizontal="left" vertical="center" wrapText="1"/>
    </xf>
    <xf numFmtId="0" fontId="7" fillId="0" borderId="0" xfId="0" applyFont="1" applyAlignment="1">
      <alignment horizontal="center"/>
    </xf>
    <xf numFmtId="0" fontId="13" fillId="2" borderId="0" xfId="0" applyFont="1" applyFill="1" applyAlignment="1"/>
    <xf numFmtId="0" fontId="56" fillId="0" borderId="0" xfId="0" applyFont="1"/>
    <xf numFmtId="0" fontId="56" fillId="0" borderId="0" xfId="0" applyFont="1" applyAlignment="1">
      <alignment horizontal="center"/>
    </xf>
    <xf numFmtId="41" fontId="56" fillId="0" borderId="0" xfId="0" applyNumberFormat="1" applyFont="1"/>
    <xf numFmtId="0" fontId="56" fillId="2" borderId="0" xfId="0" applyFont="1" applyFill="1"/>
    <xf numFmtId="41" fontId="56" fillId="2" borderId="0" xfId="0" applyNumberFormat="1" applyFont="1" applyFill="1"/>
    <xf numFmtId="3" fontId="56" fillId="2" borderId="0" xfId="0" applyNumberFormat="1" applyFont="1" applyFill="1"/>
    <xf numFmtId="0" fontId="63" fillId="2" borderId="22" xfId="0" applyFont="1" applyFill="1" applyBorder="1" applyAlignment="1">
      <alignment horizontal="center" vertical="center" wrapText="1"/>
    </xf>
    <xf numFmtId="0" fontId="135" fillId="0" borderId="22" xfId="0" applyFont="1" applyBorder="1" applyAlignment="1">
      <alignment horizontal="center" vertical="center" wrapText="1"/>
    </xf>
    <xf numFmtId="0" fontId="135" fillId="0" borderId="22" xfId="0" applyFont="1" applyFill="1" applyBorder="1" applyAlignment="1">
      <alignment horizontal="center" vertical="center" wrapText="1"/>
    </xf>
    <xf numFmtId="0" fontId="135" fillId="0" borderId="0" xfId="0" applyFont="1" applyAlignment="1">
      <alignment horizontal="center" vertical="center"/>
    </xf>
    <xf numFmtId="0" fontId="136" fillId="0" borderId="22" xfId="0" applyFont="1" applyFill="1" applyBorder="1" applyAlignment="1">
      <alignment horizontal="center" vertical="center" wrapText="1"/>
    </xf>
    <xf numFmtId="0" fontId="136" fillId="0" borderId="22" xfId="0" applyFont="1" applyBorder="1" applyAlignment="1">
      <alignment horizontal="center" vertical="center" wrapText="1"/>
    </xf>
    <xf numFmtId="41" fontId="135" fillId="0" borderId="0" xfId="0" applyNumberFormat="1" applyFont="1"/>
    <xf numFmtId="0" fontId="135" fillId="0" borderId="0" xfId="0" applyFont="1"/>
    <xf numFmtId="0" fontId="62" fillId="0" borderId="22" xfId="0" applyFont="1" applyBorder="1" applyAlignment="1">
      <alignment horizontal="center" vertical="center" wrapText="1"/>
    </xf>
    <xf numFmtId="41" fontId="63" fillId="0" borderId="22" xfId="0" applyNumberFormat="1" applyFont="1" applyBorder="1" applyAlignment="1">
      <alignment horizontal="center" vertical="center" wrapText="1"/>
    </xf>
    <xf numFmtId="41" fontId="13" fillId="0" borderId="0" xfId="0" applyNumberFormat="1" applyFont="1"/>
    <xf numFmtId="0" fontId="137" fillId="0" borderId="7" xfId="0" applyFont="1" applyBorder="1" applyAlignment="1">
      <alignment horizontal="center" vertical="center" wrapText="1"/>
    </xf>
    <xf numFmtId="0" fontId="138" fillId="0" borderId="7" xfId="0" applyFont="1" applyBorder="1" applyAlignment="1">
      <alignment horizontal="left" vertical="center" wrapText="1"/>
    </xf>
    <xf numFmtId="1" fontId="137" fillId="0" borderId="7" xfId="0" applyNumberFormat="1" applyFont="1" applyBorder="1" applyAlignment="1">
      <alignment horizontal="center" vertical="center" wrapText="1"/>
    </xf>
    <xf numFmtId="167" fontId="138" fillId="0" borderId="7" xfId="0" applyNumberFormat="1" applyFont="1" applyBorder="1" applyAlignment="1">
      <alignment horizontal="center" vertical="center" wrapText="1"/>
    </xf>
    <xf numFmtId="167" fontId="138" fillId="0" borderId="7" xfId="0" applyNumberFormat="1" applyFont="1" applyFill="1" applyBorder="1" applyAlignment="1">
      <alignment horizontal="center" vertical="center" wrapText="1"/>
    </xf>
    <xf numFmtId="0" fontId="137" fillId="0" borderId="0" xfId="0" applyFont="1" applyAlignment="1">
      <alignment horizontal="center" vertical="center" wrapText="1"/>
    </xf>
    <xf numFmtId="0" fontId="137" fillId="0" borderId="7" xfId="0" quotePrefix="1" applyFont="1" applyBorder="1" applyAlignment="1">
      <alignment horizontal="left" vertical="center" wrapText="1"/>
    </xf>
    <xf numFmtId="167" fontId="137" fillId="0" borderId="7" xfId="0" applyNumberFormat="1" applyFont="1" applyBorder="1" applyAlignment="1">
      <alignment horizontal="center" vertical="center" wrapText="1"/>
    </xf>
    <xf numFmtId="167" fontId="137" fillId="0" borderId="7" xfId="0" applyNumberFormat="1" applyFont="1" applyFill="1" applyBorder="1" applyAlignment="1">
      <alignment horizontal="center" vertical="center" wrapText="1"/>
    </xf>
    <xf numFmtId="0" fontId="138" fillId="0" borderId="7" xfId="0" applyFont="1" applyBorder="1" applyAlignment="1">
      <alignment horizontal="center" vertical="center" wrapText="1"/>
    </xf>
    <xf numFmtId="0" fontId="138" fillId="0" borderId="7" xfId="0" quotePrefix="1" applyFont="1" applyBorder="1" applyAlignment="1">
      <alignment horizontal="left" vertical="center" wrapText="1"/>
    </xf>
    <xf numFmtId="1" fontId="138" fillId="0" borderId="7" xfId="0" applyNumberFormat="1" applyFont="1" applyBorder="1" applyAlignment="1">
      <alignment horizontal="center" vertical="center" wrapText="1"/>
    </xf>
    <xf numFmtId="0" fontId="138" fillId="0" borderId="0" xfId="0" applyFont="1" applyAlignment="1">
      <alignment horizontal="center" vertical="center" wrapText="1"/>
    </xf>
    <xf numFmtId="0" fontId="62" fillId="0" borderId="7" xfId="0" applyFont="1" applyBorder="1" applyAlignment="1">
      <alignment horizontal="center" vertical="center" wrapText="1"/>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wrapText="1"/>
    </xf>
    <xf numFmtId="164" fontId="63" fillId="0" borderId="7" xfId="9" applyFont="1" applyBorder="1" applyAlignment="1">
      <alignment horizontal="center" vertical="center" wrapText="1"/>
    </xf>
    <xf numFmtId="0" fontId="63" fillId="0" borderId="7" xfId="0" applyFont="1" applyBorder="1" applyAlignment="1">
      <alignment horizontal="left" vertical="center" wrapText="1"/>
    </xf>
    <xf numFmtId="0" fontId="63" fillId="0" borderId="7" xfId="0" applyFont="1" applyBorder="1" applyAlignment="1">
      <alignment horizontal="center" vertical="center" wrapText="1"/>
    </xf>
    <xf numFmtId="0" fontId="62" fillId="2" borderId="7" xfId="0" applyFont="1" applyFill="1" applyBorder="1" applyAlignment="1">
      <alignment horizontal="center" vertical="center" wrapText="1"/>
    </xf>
    <xf numFmtId="0" fontId="121" fillId="0" borderId="7" xfId="0" applyFont="1" applyFill="1" applyBorder="1" applyAlignment="1">
      <alignment vertical="center" wrapText="1"/>
    </xf>
    <xf numFmtId="0" fontId="56" fillId="2" borderId="7" xfId="0" applyFont="1" applyFill="1" applyBorder="1" applyAlignment="1">
      <alignment horizontal="center" vertical="center" wrapText="1"/>
    </xf>
    <xf numFmtId="164" fontId="138" fillId="2" borderId="7" xfId="9" applyFont="1" applyFill="1" applyBorder="1" applyAlignment="1">
      <alignment horizontal="center" vertical="center" wrapText="1"/>
    </xf>
    <xf numFmtId="164" fontId="138" fillId="0" borderId="7" xfId="9" applyFont="1" applyFill="1" applyBorder="1" applyAlignment="1">
      <alignment horizontal="center" vertical="center" wrapText="1"/>
    </xf>
    <xf numFmtId="0" fontId="56" fillId="2" borderId="8" xfId="0" applyFont="1" applyFill="1" applyBorder="1" applyAlignment="1">
      <alignment horizontal="center" vertical="center" wrapText="1"/>
    </xf>
    <xf numFmtId="0" fontId="95" fillId="2" borderId="8" xfId="0" applyNumberFormat="1" applyFont="1" applyFill="1" applyBorder="1" applyAlignment="1">
      <alignment horizontal="left" vertical="center" wrapText="1"/>
    </xf>
    <xf numFmtId="0" fontId="135" fillId="0" borderId="4" xfId="0" applyFont="1" applyBorder="1" applyAlignment="1">
      <alignment horizontal="center" vertical="center" wrapText="1"/>
    </xf>
    <xf numFmtId="0" fontId="135" fillId="2" borderId="8" xfId="0" applyFont="1" applyFill="1" applyBorder="1" applyAlignment="1">
      <alignment horizontal="center" vertical="center" wrapText="1"/>
    </xf>
    <xf numFmtId="164" fontId="95" fillId="2" borderId="8" xfId="9" applyFont="1" applyFill="1" applyBorder="1" applyAlignment="1">
      <alignment horizontal="center" vertical="center" wrapText="1"/>
    </xf>
    <xf numFmtId="164" fontId="95" fillId="0" borderId="8" xfId="9" applyFont="1" applyFill="1" applyBorder="1" applyAlignment="1">
      <alignment horizontal="center" vertical="center" wrapText="1"/>
    </xf>
    <xf numFmtId="164" fontId="56" fillId="2" borderId="8" xfId="9" applyFont="1" applyFill="1" applyBorder="1" applyAlignment="1">
      <alignment horizontal="center" vertical="center" wrapText="1"/>
    </xf>
    <xf numFmtId="164" fontId="95" fillId="2" borderId="8" xfId="9" applyFont="1" applyFill="1" applyBorder="1" applyAlignment="1">
      <alignment horizontal="right" vertical="center" wrapText="1"/>
    </xf>
    <xf numFmtId="0" fontId="13" fillId="2" borderId="0" xfId="0" applyFont="1" applyFill="1"/>
    <xf numFmtId="0" fontId="13" fillId="0" borderId="0" xfId="0" applyFont="1" applyAlignment="1">
      <alignment horizontal="center"/>
    </xf>
    <xf numFmtId="0" fontId="139" fillId="0" borderId="0" xfId="0" applyFont="1"/>
    <xf numFmtId="0" fontId="141" fillId="0" borderId="0" xfId="0" applyFont="1" applyFill="1" applyAlignment="1"/>
    <xf numFmtId="0" fontId="141" fillId="0" borderId="0" xfId="0" applyFont="1" applyAlignment="1">
      <alignment horizontal="center"/>
    </xf>
    <xf numFmtId="0" fontId="140" fillId="0" borderId="0" xfId="0" applyFont="1" applyFill="1" applyAlignment="1">
      <alignment horizontal="center"/>
    </xf>
    <xf numFmtId="0" fontId="133" fillId="0" borderId="0" xfId="0" applyFont="1" applyAlignment="1">
      <alignment horizontal="center"/>
    </xf>
    <xf numFmtId="0" fontId="133" fillId="0" borderId="0" xfId="0" applyFont="1" applyFill="1" applyAlignment="1">
      <alignment horizontal="center"/>
    </xf>
    <xf numFmtId="0" fontId="133" fillId="0" borderId="0" xfId="0" applyFont="1" applyAlignment="1"/>
    <xf numFmtId="0" fontId="13" fillId="0" borderId="0" xfId="0" applyFont="1" applyFill="1" applyAlignment="1"/>
    <xf numFmtId="41" fontId="56" fillId="0" borderId="0" xfId="0" applyNumberFormat="1" applyFont="1" applyFill="1"/>
    <xf numFmtId="167" fontId="56" fillId="0" borderId="0" xfId="0" applyNumberFormat="1" applyFont="1" applyFill="1"/>
    <xf numFmtId="3" fontId="56" fillId="0" borderId="0" xfId="0" applyNumberFormat="1" applyFont="1" applyFill="1"/>
    <xf numFmtId="0" fontId="135" fillId="0" borderId="0" xfId="0" applyFont="1" applyFill="1" applyAlignment="1">
      <alignment horizontal="center" vertical="center"/>
    </xf>
    <xf numFmtId="41" fontId="135" fillId="0" borderId="0" xfId="0" applyNumberFormat="1" applyFont="1" applyFill="1"/>
    <xf numFmtId="0" fontId="135" fillId="0" borderId="0" xfId="0" applyFont="1" applyFill="1"/>
    <xf numFmtId="41" fontId="63" fillId="0" borderId="22" xfId="0" applyNumberFormat="1" applyFont="1" applyFill="1" applyBorder="1" applyAlignment="1">
      <alignment horizontal="center" vertical="center" wrapText="1"/>
    </xf>
    <xf numFmtId="41" fontId="13" fillId="0" borderId="0" xfId="0" applyNumberFormat="1" applyFont="1" applyFill="1"/>
    <xf numFmtId="0" fontId="137" fillId="0" borderId="7" xfId="0" applyFont="1" applyFill="1" applyBorder="1" applyAlignment="1">
      <alignment horizontal="center" vertical="center" wrapText="1"/>
    </xf>
    <xf numFmtId="0" fontId="138" fillId="0" borderId="7" xfId="0" applyFont="1" applyFill="1" applyBorder="1" applyAlignment="1">
      <alignment horizontal="left" vertical="center" wrapText="1"/>
    </xf>
    <xf numFmtId="1" fontId="137" fillId="0" borderId="7" xfId="0" applyNumberFormat="1" applyFont="1" applyFill="1" applyBorder="1" applyAlignment="1">
      <alignment horizontal="center" vertical="center" wrapText="1"/>
    </xf>
    <xf numFmtId="0" fontId="137" fillId="0" borderId="0" xfId="0" applyFont="1" applyFill="1" applyAlignment="1">
      <alignment horizontal="center" vertical="center" wrapText="1"/>
    </xf>
    <xf numFmtId="0" fontId="137" fillId="0" borderId="7" xfId="0" quotePrefix="1" applyFont="1" applyFill="1" applyBorder="1" applyAlignment="1">
      <alignment horizontal="left" vertical="center" wrapText="1"/>
    </xf>
    <xf numFmtId="0" fontId="138" fillId="0" borderId="7" xfId="0" applyFont="1" applyFill="1" applyBorder="1" applyAlignment="1">
      <alignment horizontal="center" vertical="center" wrapText="1"/>
    </xf>
    <xf numFmtId="0" fontId="138" fillId="0" borderId="7" xfId="0" quotePrefix="1" applyFont="1" applyFill="1" applyBorder="1" applyAlignment="1">
      <alignment horizontal="left" vertical="center" wrapText="1"/>
    </xf>
    <xf numFmtId="1" fontId="138" fillId="0" borderId="7" xfId="0" applyNumberFormat="1" applyFont="1" applyFill="1" applyBorder="1" applyAlignment="1">
      <alignment horizontal="center" vertical="center" wrapText="1"/>
    </xf>
    <xf numFmtId="0" fontId="138" fillId="0" borderId="0" xfId="0" applyFont="1" applyFill="1" applyAlignment="1">
      <alignment horizontal="center" vertical="center" wrapText="1"/>
    </xf>
    <xf numFmtId="0" fontId="62" fillId="0" borderId="7" xfId="0" applyFont="1" applyFill="1" applyBorder="1" applyAlignment="1">
      <alignment horizontal="center" vertical="center" wrapText="1"/>
    </xf>
    <xf numFmtId="0" fontId="63" fillId="0" borderId="6" xfId="0" applyFont="1" applyFill="1" applyBorder="1" applyAlignment="1">
      <alignment horizontal="left" vertical="center" wrapText="1"/>
    </xf>
    <xf numFmtId="0" fontId="63" fillId="0" borderId="9" xfId="0" applyFont="1" applyFill="1" applyBorder="1" applyAlignment="1">
      <alignment horizontal="left" vertical="center" wrapText="1"/>
    </xf>
    <xf numFmtId="164" fontId="63" fillId="0" borderId="7" xfId="9" applyFont="1" applyFill="1" applyBorder="1" applyAlignment="1">
      <alignment horizontal="center" vertical="center" wrapText="1"/>
    </xf>
    <xf numFmtId="0" fontId="63" fillId="0" borderId="22" xfId="0" applyFont="1" applyFill="1" applyBorder="1" applyAlignment="1">
      <alignment horizontal="left" vertical="center" wrapText="1"/>
    </xf>
    <xf numFmtId="0" fontId="129" fillId="0" borderId="22" xfId="0" applyFont="1" applyFill="1" applyBorder="1" applyAlignment="1">
      <alignment horizontal="center" vertical="center" wrapText="1"/>
    </xf>
    <xf numFmtId="164" fontId="63" fillId="0" borderId="22" xfId="9" applyFont="1" applyFill="1" applyBorder="1" applyAlignment="1">
      <alignment horizontal="center" vertical="center" wrapText="1"/>
    </xf>
    <xf numFmtId="0" fontId="62" fillId="0" borderId="6" xfId="0" applyFont="1" applyFill="1" applyBorder="1" applyAlignment="1">
      <alignment horizontal="center" vertical="center" wrapText="1"/>
    </xf>
    <xf numFmtId="0" fontId="138" fillId="0" borderId="6" xfId="0" applyFont="1" applyFill="1" applyBorder="1" applyAlignment="1">
      <alignment vertical="center" wrapText="1"/>
    </xf>
    <xf numFmtId="0" fontId="121" fillId="0" borderId="6" xfId="0" applyFont="1" applyFill="1" applyBorder="1" applyAlignment="1">
      <alignment vertical="center" wrapText="1"/>
    </xf>
    <xf numFmtId="0" fontId="129" fillId="0" borderId="6" xfId="0" applyFont="1" applyFill="1" applyBorder="1" applyAlignment="1">
      <alignment horizontal="center" vertical="center" wrapText="1"/>
    </xf>
    <xf numFmtId="164" fontId="138" fillId="0" borderId="9" xfId="9" applyFont="1" applyFill="1" applyBorder="1" applyAlignment="1">
      <alignment horizontal="center" vertical="center" wrapText="1"/>
    </xf>
    <xf numFmtId="0" fontId="56" fillId="0" borderId="7" xfId="0" applyFont="1" applyFill="1" applyBorder="1" applyAlignment="1">
      <alignment horizontal="center" vertical="center" wrapText="1"/>
    </xf>
    <xf numFmtId="0" fontId="95" fillId="0" borderId="7" xfId="0" applyNumberFormat="1" applyFont="1" applyFill="1" applyBorder="1" applyAlignment="1">
      <alignment horizontal="left" vertical="center" wrapText="1"/>
    </xf>
    <xf numFmtId="0" fontId="135" fillId="0" borderId="7" xfId="0" applyFont="1" applyBorder="1" applyAlignment="1">
      <alignment horizontal="center" vertical="center" wrapText="1"/>
    </xf>
    <xf numFmtId="164" fontId="95" fillId="0" borderId="7" xfId="9" applyFont="1" applyFill="1" applyBorder="1" applyAlignment="1">
      <alignment horizontal="center" vertical="center" wrapText="1"/>
    </xf>
    <xf numFmtId="164" fontId="56" fillId="0" borderId="7" xfId="9" applyFont="1" applyFill="1" applyBorder="1" applyAlignment="1">
      <alignment horizontal="center" vertical="center" wrapText="1"/>
    </xf>
    <xf numFmtId="164" fontId="95" fillId="0" borderId="9" xfId="9" applyFont="1" applyFill="1" applyBorder="1" applyAlignment="1">
      <alignment horizontal="center" vertical="center" wrapText="1"/>
    </xf>
    <xf numFmtId="0" fontId="56" fillId="0" borderId="8" xfId="0" applyFont="1" applyFill="1" applyBorder="1" applyAlignment="1">
      <alignment horizontal="center" vertical="center" wrapText="1"/>
    </xf>
    <xf numFmtId="0" fontId="95" fillId="0" borderId="8" xfId="0" applyNumberFormat="1" applyFont="1" applyFill="1" applyBorder="1" applyAlignment="1">
      <alignment horizontal="left" vertical="center" wrapText="1"/>
    </xf>
    <xf numFmtId="0" fontId="135" fillId="0" borderId="8" xfId="0" applyFont="1" applyBorder="1" applyAlignment="1">
      <alignment horizontal="center" vertical="center" wrapText="1"/>
    </xf>
    <xf numFmtId="0" fontId="135" fillId="0" borderId="8" xfId="0" applyFont="1" applyFill="1" applyBorder="1" applyAlignment="1">
      <alignment horizontal="center" vertical="center" wrapText="1"/>
    </xf>
    <xf numFmtId="0" fontId="62" fillId="0" borderId="9" xfId="0" applyFont="1" applyFill="1" applyBorder="1" applyAlignment="1">
      <alignment horizontal="center" vertical="center" wrapText="1"/>
    </xf>
    <xf numFmtId="0" fontId="121" fillId="0" borderId="0" xfId="0" applyFont="1" applyFill="1" applyBorder="1" applyAlignment="1">
      <alignment vertical="center" wrapText="1"/>
    </xf>
    <xf numFmtId="0" fontId="129" fillId="0" borderId="9" xfId="0" applyFont="1" applyFill="1" applyBorder="1" applyAlignment="1">
      <alignment horizontal="center" vertical="center" wrapText="1"/>
    </xf>
    <xf numFmtId="0" fontId="135" fillId="0" borderId="7" xfId="0" applyFont="1" applyFill="1" applyBorder="1" applyAlignment="1">
      <alignment horizontal="center" vertical="center" wrapText="1"/>
    </xf>
    <xf numFmtId="0" fontId="142" fillId="0" borderId="7" xfId="0" applyFont="1" applyFill="1" applyBorder="1" applyAlignment="1">
      <alignment horizontal="center" vertical="center" wrapText="1"/>
    </xf>
    <xf numFmtId="0" fontId="121" fillId="0" borderId="33" xfId="0" applyFont="1" applyFill="1" applyBorder="1" applyAlignment="1">
      <alignment vertical="center" wrapText="1"/>
    </xf>
    <xf numFmtId="0" fontId="95" fillId="0" borderId="7" xfId="0" applyNumberFormat="1" applyFont="1" applyFill="1" applyBorder="1" applyAlignment="1">
      <alignment horizontal="center" vertical="center" wrapText="1"/>
    </xf>
    <xf numFmtId="0" fontId="95" fillId="0" borderId="7" xfId="0" applyNumberFormat="1" applyFont="1" applyFill="1" applyBorder="1" applyAlignment="1">
      <alignment vertical="center" wrapText="1"/>
    </xf>
    <xf numFmtId="164" fontId="95" fillId="0" borderId="7" xfId="9" applyFont="1" applyFill="1" applyBorder="1" applyAlignment="1">
      <alignment horizontal="right" vertical="center"/>
    </xf>
    <xf numFmtId="0" fontId="56" fillId="0" borderId="17" xfId="0" applyFont="1" applyFill="1" applyBorder="1" applyAlignment="1">
      <alignment horizontal="center" vertical="center" wrapText="1"/>
    </xf>
    <xf numFmtId="0" fontId="95" fillId="0" borderId="17" xfId="0" applyNumberFormat="1" applyFont="1" applyFill="1" applyBorder="1" applyAlignment="1">
      <alignment vertical="center" wrapText="1"/>
    </xf>
    <xf numFmtId="0" fontId="95" fillId="0" borderId="17" xfId="0" applyNumberFormat="1" applyFont="1" applyFill="1" applyBorder="1" applyAlignment="1">
      <alignment horizontal="center" vertical="center" wrapText="1"/>
    </xf>
    <xf numFmtId="0" fontId="135" fillId="0" borderId="17" xfId="0" applyFont="1" applyFill="1" applyBorder="1" applyAlignment="1">
      <alignment horizontal="center" vertical="center" wrapText="1"/>
    </xf>
    <xf numFmtId="164" fontId="95" fillId="0" borderId="17" xfId="9" applyFont="1" applyFill="1" applyBorder="1" applyAlignment="1">
      <alignment horizontal="right" vertical="center"/>
    </xf>
    <xf numFmtId="164" fontId="95" fillId="0" borderId="17" xfId="9" applyFont="1" applyFill="1" applyBorder="1" applyAlignment="1">
      <alignment horizontal="right" vertical="center" wrapText="1"/>
    </xf>
    <xf numFmtId="164" fontId="56" fillId="0" borderId="17" xfId="9" applyFont="1" applyFill="1" applyBorder="1" applyAlignment="1">
      <alignment horizontal="center" vertical="center" wrapText="1"/>
    </xf>
    <xf numFmtId="164" fontId="95" fillId="0" borderId="3" xfId="9" applyFont="1" applyFill="1" applyBorder="1" applyAlignment="1">
      <alignment horizontal="center" vertical="center" wrapText="1"/>
    </xf>
    <xf numFmtId="164" fontId="95" fillId="0" borderId="17" xfId="9" applyFont="1" applyFill="1" applyBorder="1" applyAlignment="1">
      <alignment horizontal="center" vertical="center" wrapText="1"/>
    </xf>
    <xf numFmtId="0" fontId="63" fillId="0" borderId="22" xfId="0" applyFont="1" applyFill="1" applyBorder="1" applyAlignment="1">
      <alignment vertical="center" wrapText="1"/>
    </xf>
    <xf numFmtId="164" fontId="63" fillId="0" borderId="22" xfId="9" applyFont="1" applyFill="1" applyBorder="1" applyAlignment="1">
      <alignment horizontal="right" vertical="center" wrapText="1"/>
    </xf>
    <xf numFmtId="0" fontId="142" fillId="0" borderId="9" xfId="0" applyFont="1" applyFill="1" applyBorder="1" applyAlignment="1">
      <alignment horizontal="center" vertical="center" wrapText="1"/>
    </xf>
    <xf numFmtId="0" fontId="121" fillId="0" borderId="9" xfId="0" applyFont="1" applyFill="1" applyBorder="1" applyAlignment="1">
      <alignment vertical="center" wrapText="1"/>
    </xf>
    <xf numFmtId="0" fontId="95" fillId="0" borderId="17" xfId="0" applyNumberFormat="1" applyFont="1" applyFill="1" applyBorder="1" applyAlignment="1">
      <alignment horizontal="left" vertical="center" wrapText="1"/>
    </xf>
    <xf numFmtId="0" fontId="143" fillId="0" borderId="22" xfId="0" applyFont="1" applyFill="1" applyBorder="1" applyAlignment="1">
      <alignment horizontal="center" vertical="center" wrapText="1"/>
    </xf>
    <xf numFmtId="0" fontId="143" fillId="0" borderId="22" xfId="0" applyFont="1" applyFill="1" applyBorder="1" applyAlignment="1">
      <alignment horizontal="left" vertical="center" wrapText="1"/>
    </xf>
    <xf numFmtId="0" fontId="95" fillId="0" borderId="22" xfId="0" applyNumberFormat="1" applyFont="1" applyFill="1" applyBorder="1" applyAlignment="1">
      <alignment horizontal="center" vertical="center" wrapText="1"/>
    </xf>
    <xf numFmtId="0" fontId="75" fillId="0" borderId="22" xfId="0" applyFont="1" applyFill="1" applyBorder="1" applyAlignment="1">
      <alignment horizontal="center" vertical="center" wrapText="1"/>
    </xf>
    <xf numFmtId="0" fontId="75" fillId="0" borderId="22" xfId="0" applyNumberFormat="1" applyFont="1" applyFill="1" applyBorder="1" applyAlignment="1">
      <alignment horizontal="left" vertical="center" wrapText="1"/>
    </xf>
    <xf numFmtId="0" fontId="43" fillId="0" borderId="9" xfId="0" applyFont="1" applyFill="1" applyBorder="1" applyAlignment="1">
      <alignment horizontal="center" vertical="center" wrapText="1"/>
    </xf>
    <xf numFmtId="0" fontId="144" fillId="0" borderId="9" xfId="0" applyFont="1" applyFill="1" applyBorder="1" applyAlignment="1">
      <alignment vertical="center" wrapText="1"/>
    </xf>
    <xf numFmtId="0" fontId="95" fillId="0" borderId="9" xfId="0" applyNumberFormat="1" applyFont="1" applyFill="1" applyBorder="1" applyAlignment="1">
      <alignment horizontal="center" vertical="center" wrapText="1"/>
    </xf>
    <xf numFmtId="0" fontId="135" fillId="0" borderId="9"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7" xfId="0" applyNumberFormat="1" applyFont="1" applyFill="1" applyBorder="1" applyAlignment="1">
      <alignment horizontal="left" vertical="center" wrapText="1"/>
    </xf>
    <xf numFmtId="0" fontId="43" fillId="0" borderId="22" xfId="0" applyFont="1" applyFill="1" applyBorder="1" applyAlignment="1">
      <alignment horizontal="left" vertical="center" wrapText="1"/>
    </xf>
    <xf numFmtId="0" fontId="138"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95" fillId="0" borderId="8" xfId="0" applyNumberFormat="1" applyFont="1" applyFill="1" applyBorder="1" applyAlignment="1">
      <alignment horizontal="center" vertical="center" wrapText="1"/>
    </xf>
    <xf numFmtId="164" fontId="56" fillId="0" borderId="8" xfId="9" applyFont="1" applyFill="1" applyBorder="1" applyAlignment="1">
      <alignment horizontal="center" vertical="center" wrapText="1"/>
    </xf>
    <xf numFmtId="0" fontId="56" fillId="0" borderId="0" xfId="0" applyFont="1" applyFill="1" applyBorder="1" applyAlignment="1">
      <alignment horizontal="center" vertical="center" wrapText="1"/>
    </xf>
    <xf numFmtId="0" fontId="95" fillId="0" borderId="0" xfId="0" applyNumberFormat="1" applyFont="1" applyFill="1" applyBorder="1" applyAlignment="1">
      <alignment horizontal="left" vertical="center" wrapText="1"/>
    </xf>
    <xf numFmtId="0" fontId="95" fillId="0" borderId="0" xfId="0" applyNumberFormat="1" applyFont="1" applyFill="1" applyBorder="1" applyAlignment="1">
      <alignment horizontal="center" vertical="center" wrapText="1"/>
    </xf>
    <xf numFmtId="0" fontId="135" fillId="0" borderId="0" xfId="0" applyFont="1" applyFill="1" applyBorder="1" applyAlignment="1">
      <alignment horizontal="center" vertical="center" wrapText="1"/>
    </xf>
    <xf numFmtId="164" fontId="95" fillId="0" borderId="0" xfId="9" applyFont="1" applyFill="1" applyBorder="1" applyAlignment="1">
      <alignment horizontal="center" vertical="center" wrapText="1"/>
    </xf>
    <xf numFmtId="164" fontId="56" fillId="0" borderId="0" xfId="9" applyFont="1" applyFill="1" applyBorder="1" applyAlignment="1">
      <alignment horizontal="center" vertical="center" wrapText="1"/>
    </xf>
    <xf numFmtId="164" fontId="95" fillId="0" borderId="0" xfId="9" applyFont="1" applyFill="1" applyBorder="1" applyAlignment="1">
      <alignment horizontal="right" vertical="center" wrapText="1"/>
    </xf>
    <xf numFmtId="3" fontId="145" fillId="0" borderId="0" xfId="0" applyNumberFormat="1" applyFont="1" applyFill="1" applyBorder="1" applyAlignment="1">
      <alignment vertical="center" wrapText="1"/>
    </xf>
    <xf numFmtId="0" fontId="140" fillId="0" borderId="0" xfId="0" applyFont="1" applyFill="1"/>
    <xf numFmtId="3" fontId="141" fillId="0" borderId="0" xfId="0" applyNumberFormat="1" applyFont="1" applyFill="1" applyBorder="1" applyAlignment="1">
      <alignment vertical="center" wrapText="1"/>
    </xf>
    <xf numFmtId="0" fontId="145" fillId="0" borderId="0" xfId="0" applyFont="1" applyFill="1" applyAlignment="1">
      <alignment horizontal="center" vertical="center" wrapText="1"/>
    </xf>
    <xf numFmtId="41" fontId="141" fillId="0" borderId="0" xfId="0" applyNumberFormat="1" applyFont="1" applyFill="1" applyAlignment="1"/>
    <xf numFmtId="0" fontId="146" fillId="0" borderId="0" xfId="0" applyFont="1" applyFill="1" applyAlignment="1">
      <alignment horizontal="center"/>
    </xf>
    <xf numFmtId="0" fontId="146" fillId="0" borderId="0" xfId="0" applyFont="1" applyFill="1" applyAlignment="1"/>
    <xf numFmtId="0" fontId="147" fillId="0" borderId="0" xfId="0" applyFont="1" applyFill="1"/>
    <xf numFmtId="0" fontId="148" fillId="0" borderId="0" xfId="0" applyFont="1" applyFill="1" applyAlignment="1">
      <alignment horizontal="center"/>
    </xf>
    <xf numFmtId="0" fontId="109" fillId="0" borderId="0" xfId="0" applyFont="1" applyFill="1"/>
    <xf numFmtId="3" fontId="8" fillId="0" borderId="15" xfId="0" applyNumberFormat="1" applyFont="1" applyFill="1" applyBorder="1" applyAlignment="1"/>
    <xf numFmtId="41" fontId="137" fillId="0" borderId="15" xfId="0" applyNumberFormat="1" applyFont="1" applyFill="1" applyBorder="1" applyAlignment="1"/>
    <xf numFmtId="0" fontId="8" fillId="0" borderId="15" xfId="0" applyFont="1" applyFill="1" applyBorder="1" applyAlignment="1"/>
    <xf numFmtId="166" fontId="13" fillId="2" borderId="7" xfId="0" applyNumberFormat="1" applyFont="1" applyFill="1" applyBorder="1" applyAlignment="1">
      <alignment horizontal="right" vertical="center" wrapText="1"/>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pplyAlignment="1">
      <alignment vertical="center" wrapText="1"/>
    </xf>
    <xf numFmtId="169" fontId="13" fillId="0" borderId="0" xfId="84" applyNumberFormat="1" applyFont="1" applyAlignment="1">
      <alignmen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13" fillId="0" borderId="22" xfId="0" applyFont="1" applyBorder="1" applyAlignment="1">
      <alignment horizontal="center" vertical="center" wrapText="1"/>
    </xf>
    <xf numFmtId="0" fontId="99" fillId="0" borderId="0" xfId="0" applyFont="1" applyAlignment="1">
      <alignment vertical="center" wrapText="1"/>
    </xf>
    <xf numFmtId="0" fontId="99" fillId="0" borderId="22" xfId="0" applyFont="1" applyBorder="1" applyAlignment="1">
      <alignment horizontal="center" vertical="center" wrapText="1"/>
    </xf>
    <xf numFmtId="0" fontId="99" fillId="0" borderId="0" xfId="0" applyFont="1" applyAlignment="1">
      <alignment horizontal="center" vertical="center" wrapText="1"/>
    </xf>
    <xf numFmtId="0" fontId="94" fillId="0" borderId="0" xfId="0" applyFont="1" applyAlignment="1">
      <alignment vertical="center" wrapText="1"/>
    </xf>
    <xf numFmtId="0" fontId="99" fillId="0" borderId="7" xfId="0" applyFont="1" applyBorder="1" applyAlignment="1">
      <alignment vertical="center" wrapText="1"/>
    </xf>
    <xf numFmtId="0" fontId="99" fillId="0" borderId="0" xfId="0" applyFont="1"/>
    <xf numFmtId="169" fontId="94" fillId="0" borderId="0" xfId="84" applyNumberFormat="1" applyFont="1" applyAlignment="1"/>
    <xf numFmtId="169" fontId="127" fillId="0" borderId="0" xfId="84" applyNumberFormat="1" applyFont="1" applyAlignment="1"/>
    <xf numFmtId="0" fontId="127" fillId="0" borderId="0" xfId="0" applyFont="1" applyAlignment="1">
      <alignment vertical="center" wrapText="1"/>
    </xf>
    <xf numFmtId="0" fontId="127" fillId="0" borderId="23" xfId="0" applyFont="1" applyFill="1" applyBorder="1" applyAlignment="1">
      <alignment horizontal="center" vertical="center" wrapText="1"/>
    </xf>
    <xf numFmtId="0" fontId="127" fillId="0" borderId="23"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0" xfId="0" applyFont="1" applyBorder="1" applyAlignment="1">
      <alignment horizontal="center" vertical="center" wrapText="1"/>
    </xf>
    <xf numFmtId="169" fontId="94" fillId="0" borderId="0" xfId="84" applyNumberFormat="1" applyFont="1" applyAlignment="1">
      <alignment vertical="center" wrapText="1"/>
    </xf>
    <xf numFmtId="169" fontId="127" fillId="0" borderId="0" xfId="84" applyNumberFormat="1" applyFont="1" applyAlignment="1">
      <alignment vertical="center" wrapText="1"/>
    </xf>
    <xf numFmtId="166" fontId="149" fillId="0" borderId="0" xfId="3" applyNumberFormat="1" applyFont="1" applyAlignment="1">
      <alignment horizontal="center" vertical="center" wrapText="1"/>
    </xf>
    <xf numFmtId="166" fontId="24" fillId="0" borderId="0" xfId="0" applyNumberFormat="1" applyFont="1" applyAlignment="1">
      <alignment vertical="center"/>
    </xf>
    <xf numFmtId="166" fontId="149" fillId="0" borderId="0" xfId="0" applyNumberFormat="1" applyFont="1" applyAlignment="1">
      <alignment vertical="center"/>
    </xf>
    <xf numFmtId="166" fontId="7" fillId="0" borderId="0" xfId="3" applyNumberFormat="1" applyFont="1" applyAlignment="1">
      <alignment vertical="center"/>
    </xf>
    <xf numFmtId="0" fontId="7" fillId="0" borderId="0" xfId="3" applyFont="1" applyAlignment="1">
      <alignment vertical="center"/>
    </xf>
    <xf numFmtId="0" fontId="13" fillId="0" borderId="0" xfId="3" applyFont="1" applyAlignment="1">
      <alignment horizontal="center" vertical="center" wrapText="1"/>
    </xf>
    <xf numFmtId="0" fontId="13" fillId="0" borderId="0" xfId="3" applyFont="1" applyAlignment="1">
      <alignment vertical="center" wrapText="1"/>
    </xf>
    <xf numFmtId="166" fontId="151" fillId="0" borderId="0" xfId="3" applyNumberFormat="1" applyFont="1" applyAlignment="1">
      <alignment vertical="center" wrapText="1"/>
    </xf>
    <xf numFmtId="166" fontId="152" fillId="0" borderId="0" xfId="0" applyNumberFormat="1" applyFont="1" applyAlignment="1">
      <alignment vertical="center"/>
    </xf>
    <xf numFmtId="166" fontId="151" fillId="0" borderId="0" xfId="0" applyNumberFormat="1" applyFont="1" applyAlignment="1">
      <alignment vertical="center"/>
    </xf>
    <xf numFmtId="166" fontId="153" fillId="0" borderId="0" xfId="0" applyNumberFormat="1" applyFont="1" applyAlignment="1">
      <alignment vertical="center"/>
    </xf>
    <xf numFmtId="166" fontId="13" fillId="0" borderId="0" xfId="3" applyNumberFormat="1" applyFont="1" applyAlignment="1">
      <alignment vertical="center"/>
    </xf>
    <xf numFmtId="0" fontId="13" fillId="0" borderId="0" xfId="3" applyFont="1" applyAlignment="1">
      <alignment vertical="center"/>
    </xf>
    <xf numFmtId="166" fontId="155" fillId="0" borderId="0" xfId="3" applyNumberFormat="1" applyFont="1" applyAlignment="1">
      <alignment horizontal="center" vertical="center"/>
    </xf>
    <xf numFmtId="0" fontId="155" fillId="0" borderId="0" xfId="3" applyFont="1" applyAlignment="1">
      <alignment horizontal="center" vertical="center"/>
    </xf>
    <xf numFmtId="166" fontId="7" fillId="0" borderId="0" xfId="3" applyNumberFormat="1" applyFont="1" applyAlignment="1">
      <alignment horizontal="center" vertical="center" wrapText="1"/>
    </xf>
    <xf numFmtId="0" fontId="7" fillId="0" borderId="0" xfId="3" applyFont="1" applyAlignment="1">
      <alignment horizontal="center" vertical="center" wrapText="1"/>
    </xf>
    <xf numFmtId="166" fontId="55" fillId="0" borderId="22" xfId="0" applyNumberFormat="1" applyFont="1" applyBorder="1" applyAlignment="1">
      <alignment horizontal="center" vertical="center" wrapText="1"/>
    </xf>
    <xf numFmtId="0" fontId="39" fillId="0" borderId="37" xfId="3" applyFont="1" applyBorder="1" applyAlignment="1">
      <alignment horizontal="center" vertical="center" wrapText="1"/>
    </xf>
    <xf numFmtId="0" fontId="39" fillId="0" borderId="22" xfId="3" applyFont="1" applyBorder="1" applyAlignment="1">
      <alignment horizontal="center" vertical="center" wrapText="1"/>
    </xf>
    <xf numFmtId="3" fontId="151" fillId="0" borderId="22" xfId="3" applyNumberFormat="1" applyFont="1" applyBorder="1" applyAlignment="1">
      <alignment horizontal="center" vertical="center" wrapText="1"/>
    </xf>
    <xf numFmtId="3" fontId="12" fillId="0" borderId="22" xfId="0" applyNumberFormat="1" applyFont="1" applyBorder="1" applyAlignment="1">
      <alignment horizontal="center" vertical="center" wrapText="1"/>
    </xf>
    <xf numFmtId="3" fontId="39" fillId="0" borderId="22" xfId="3" applyNumberFormat="1" applyFont="1" applyBorder="1" applyAlignment="1">
      <alignment horizontal="center" vertical="center" wrapText="1"/>
    </xf>
    <xf numFmtId="166" fontId="39" fillId="0" borderId="0" xfId="3" applyNumberFormat="1" applyFont="1" applyAlignment="1">
      <alignment horizontal="center" vertical="center"/>
    </xf>
    <xf numFmtId="0" fontId="39" fillId="0" borderId="0" xfId="3" applyFont="1" applyAlignment="1">
      <alignment horizontal="center" vertical="center"/>
    </xf>
    <xf numFmtId="3" fontId="7" fillId="0" borderId="7" xfId="3" applyNumberFormat="1" applyFont="1" applyBorder="1" applyAlignment="1">
      <alignment horizontal="center" vertical="center" wrapText="1"/>
    </xf>
    <xf numFmtId="166" fontId="7" fillId="0" borderId="7" xfId="3" applyNumberFormat="1" applyFont="1" applyBorder="1" applyAlignment="1">
      <alignment vertical="center"/>
    </xf>
    <xf numFmtId="3" fontId="7" fillId="0" borderId="7" xfId="3" applyNumberFormat="1" applyFont="1" applyBorder="1" applyAlignment="1">
      <alignment horizontal="left" vertical="center" wrapText="1"/>
    </xf>
    <xf numFmtId="3" fontId="7" fillId="0" borderId="7" xfId="3" applyNumberFormat="1" applyFont="1" applyBorder="1" applyAlignment="1">
      <alignment vertical="center" wrapText="1"/>
    </xf>
    <xf numFmtId="3" fontId="13" fillId="0" borderId="7" xfId="3" applyNumberFormat="1" applyFont="1" applyFill="1" applyBorder="1" applyAlignment="1">
      <alignment vertical="center" wrapText="1"/>
    </xf>
    <xf numFmtId="3" fontId="13" fillId="0" borderId="7" xfId="3" quotePrefix="1" applyNumberFormat="1" applyFont="1" applyFill="1" applyBorder="1" applyAlignment="1">
      <alignment horizontal="center" vertical="center" wrapText="1"/>
    </xf>
    <xf numFmtId="166" fontId="13" fillId="0" borderId="7" xfId="3" applyNumberFormat="1" applyFont="1" applyFill="1" applyBorder="1" applyAlignment="1">
      <alignment vertical="center"/>
    </xf>
    <xf numFmtId="166" fontId="158" fillId="0" borderId="0" xfId="3" applyNumberFormat="1" applyFont="1" applyFill="1" applyAlignment="1">
      <alignment vertical="center"/>
    </xf>
    <xf numFmtId="0" fontId="158" fillId="0" borderId="0" xfId="3" applyFont="1" applyFill="1" applyAlignment="1">
      <alignment vertical="center"/>
    </xf>
    <xf numFmtId="166" fontId="7" fillId="0" borderId="7" xfId="3" applyNumberFormat="1" applyFont="1" applyFill="1" applyBorder="1" applyAlignment="1">
      <alignment vertical="center"/>
    </xf>
    <xf numFmtId="3" fontId="7" fillId="0" borderId="7" xfId="3" applyNumberFormat="1" applyFont="1" applyFill="1" applyBorder="1" applyAlignment="1">
      <alignment horizontal="center" vertical="center" wrapText="1"/>
    </xf>
    <xf numFmtId="3" fontId="7" fillId="0" borderId="7" xfId="3" applyNumberFormat="1" applyFont="1" applyFill="1" applyBorder="1" applyAlignment="1">
      <alignment vertical="center" wrapText="1"/>
    </xf>
    <xf numFmtId="166" fontId="157" fillId="0" borderId="0" xfId="3" applyNumberFormat="1" applyFont="1" applyFill="1" applyAlignment="1">
      <alignment vertical="center"/>
    </xf>
    <xf numFmtId="0" fontId="157" fillId="0" borderId="0" xfId="3" applyFont="1" applyFill="1" applyAlignment="1">
      <alignment vertical="center"/>
    </xf>
    <xf numFmtId="166" fontId="14" fillId="0" borderId="7" xfId="3" applyNumberFormat="1" applyFont="1" applyFill="1" applyBorder="1" applyAlignment="1">
      <alignment vertical="center"/>
    </xf>
    <xf numFmtId="166" fontId="14" fillId="0" borderId="0" xfId="3" applyNumberFormat="1" applyFont="1" applyFill="1" applyAlignment="1">
      <alignment vertical="center"/>
    </xf>
    <xf numFmtId="0" fontId="14" fillId="0" borderId="0" xfId="3" applyFont="1" applyFill="1" applyAlignment="1">
      <alignment vertical="center"/>
    </xf>
    <xf numFmtId="3" fontId="14" fillId="0" borderId="7" xfId="3" applyNumberFormat="1" applyFont="1" applyFill="1" applyBorder="1" applyAlignment="1">
      <alignment horizontal="center" vertical="center" wrapText="1"/>
    </xf>
    <xf numFmtId="3" fontId="14" fillId="0" borderId="7" xfId="3" applyNumberFormat="1" applyFont="1" applyFill="1" applyBorder="1" applyAlignment="1">
      <alignment vertical="center" wrapText="1"/>
    </xf>
    <xf numFmtId="166" fontId="8" fillId="0" borderId="0" xfId="3" applyNumberFormat="1" applyFont="1" applyAlignment="1">
      <alignment vertical="center"/>
    </xf>
    <xf numFmtId="166" fontId="76" fillId="0" borderId="0" xfId="0" applyNumberFormat="1" applyFont="1"/>
    <xf numFmtId="166" fontId="159" fillId="0" borderId="0" xfId="0" applyNumberFormat="1" applyFont="1"/>
    <xf numFmtId="0" fontId="99" fillId="0" borderId="0" xfId="0" applyFont="1" applyAlignment="1">
      <alignment vertical="center"/>
    </xf>
    <xf numFmtId="0" fontId="127" fillId="0" borderId="0" xfId="0" applyFont="1" applyAlignment="1">
      <alignment vertical="center"/>
    </xf>
    <xf numFmtId="0" fontId="99" fillId="0" borderId="0" xfId="0" applyFont="1" applyAlignment="1"/>
    <xf numFmtId="0" fontId="127" fillId="0" borderId="22" xfId="0" applyFont="1" applyBorder="1" applyAlignment="1">
      <alignment horizontal="center" vertical="center" wrapText="1"/>
    </xf>
    <xf numFmtId="0" fontId="99" fillId="0" borderId="0" xfId="0" applyFont="1" applyAlignment="1">
      <alignment wrapText="1"/>
    </xf>
    <xf numFmtId="0" fontId="99" fillId="0" borderId="22" xfId="0" applyFont="1" applyBorder="1" applyAlignment="1">
      <alignment horizontal="center" vertical="center"/>
    </xf>
    <xf numFmtId="0" fontId="99" fillId="0" borderId="0" xfId="0" applyFont="1" applyAlignment="1">
      <alignment horizontal="center"/>
    </xf>
    <xf numFmtId="0" fontId="127" fillId="0" borderId="9" xfId="0" applyFont="1" applyBorder="1" applyAlignment="1">
      <alignment horizontal="center" vertical="center"/>
    </xf>
    <xf numFmtId="0" fontId="127" fillId="0" borderId="9" xfId="0" applyFont="1" applyBorder="1" applyAlignment="1">
      <alignment vertical="center"/>
    </xf>
    <xf numFmtId="0" fontId="127" fillId="0" borderId="0" xfId="0" applyFont="1"/>
    <xf numFmtId="0" fontId="99" fillId="0" borderId="9" xfId="0" applyFont="1" applyBorder="1" applyAlignment="1">
      <alignment horizontal="center" vertical="center"/>
    </xf>
    <xf numFmtId="0" fontId="99" fillId="0" borderId="9" xfId="0" applyFont="1" applyBorder="1" applyAlignment="1">
      <alignment vertical="center"/>
    </xf>
    <xf numFmtId="0" fontId="127" fillId="0" borderId="7" xfId="0" applyFont="1" applyBorder="1" applyAlignment="1">
      <alignment horizontal="center" vertical="center"/>
    </xf>
    <xf numFmtId="0" fontId="127" fillId="0" borderId="7" xfId="0" applyFont="1" applyBorder="1" applyAlignment="1">
      <alignment vertical="center"/>
    </xf>
    <xf numFmtId="0" fontId="99" fillId="0" borderId="7" xfId="0" applyFont="1" applyBorder="1" applyAlignment="1">
      <alignment horizontal="center" vertical="center"/>
    </xf>
    <xf numFmtId="0" fontId="99" fillId="0" borderId="7" xfId="0" applyFont="1" applyBorder="1" applyAlignment="1">
      <alignment vertical="center"/>
    </xf>
    <xf numFmtId="0" fontId="127" fillId="0" borderId="7" xfId="0" applyFont="1" applyFill="1" applyBorder="1" applyAlignment="1">
      <alignment horizontal="center" vertical="center"/>
    </xf>
    <xf numFmtId="0" fontId="127" fillId="0" borderId="7" xfId="0" applyFont="1" applyFill="1" applyBorder="1" applyAlignment="1">
      <alignment vertical="center"/>
    </xf>
    <xf numFmtId="0" fontId="127" fillId="0" borderId="0" xfId="0" applyFont="1" applyFill="1"/>
    <xf numFmtId="0" fontId="94" fillId="0" borderId="0" xfId="0" applyFont="1" applyAlignment="1"/>
    <xf numFmtId="0" fontId="7" fillId="0" borderId="0" xfId="0" applyFont="1" applyAlignment="1">
      <alignment vertical="center"/>
    </xf>
    <xf numFmtId="0" fontId="13" fillId="0" borderId="0" xfId="0" applyFont="1" applyAlignment="1">
      <alignment horizontal="center" vertical="center"/>
    </xf>
    <xf numFmtId="0" fontId="7" fillId="0" borderId="22" xfId="0" applyFont="1" applyBorder="1" applyAlignment="1">
      <alignment horizontal="center" vertical="center" wrapText="1"/>
    </xf>
    <xf numFmtId="0" fontId="13" fillId="0" borderId="0" xfId="0" applyFont="1" applyAlignment="1">
      <alignment horizontal="justify" vertical="center"/>
    </xf>
    <xf numFmtId="0" fontId="14" fillId="0" borderId="0" xfId="40" applyFont="1" applyAlignment="1">
      <alignment horizontal="center" vertical="center"/>
    </xf>
    <xf numFmtId="49" fontId="7" fillId="0" borderId="0" xfId="40" applyNumberFormat="1" applyFont="1" applyAlignment="1">
      <alignment vertical="center"/>
    </xf>
    <xf numFmtId="49" fontId="14" fillId="0" borderId="0" xfId="40" applyNumberFormat="1" applyFont="1" applyAlignment="1">
      <alignment vertical="center"/>
    </xf>
    <xf numFmtId="0" fontId="14" fillId="0" borderId="0" xfId="40" applyFont="1" applyAlignment="1">
      <alignment vertical="center"/>
    </xf>
    <xf numFmtId="0" fontId="7" fillId="0" borderId="0" xfId="40" applyFont="1" applyAlignment="1">
      <alignment horizontal="center" vertical="center"/>
    </xf>
    <xf numFmtId="0" fontId="7" fillId="0" borderId="0" xfId="40" applyFont="1" applyAlignment="1">
      <alignment vertical="center"/>
    </xf>
    <xf numFmtId="0" fontId="50" fillId="0" borderId="0" xfId="0" applyFont="1" applyAlignment="1">
      <alignment horizontal="center"/>
    </xf>
    <xf numFmtId="0" fontId="13" fillId="0" borderId="22" xfId="0" applyFont="1" applyBorder="1" applyAlignment="1">
      <alignment horizontal="center" vertical="center" wrapText="1"/>
    </xf>
    <xf numFmtId="166" fontId="13" fillId="0" borderId="22" xfId="1" applyNumberFormat="1" applyFont="1" applyBorder="1" applyAlignment="1">
      <alignment horizontal="right" vertical="center"/>
    </xf>
    <xf numFmtId="0" fontId="7" fillId="0" borderId="22" xfId="0" applyFont="1" applyBorder="1" applyAlignment="1">
      <alignment vertical="center" wrapText="1"/>
    </xf>
    <xf numFmtId="174" fontId="13" fillId="0" borderId="22" xfId="10" applyNumberFormat="1" applyFont="1" applyBorder="1" applyAlignment="1">
      <alignment horizontal="center" vertical="center" wrapText="1"/>
    </xf>
    <xf numFmtId="0" fontId="13" fillId="0" borderId="22" xfId="0" applyFont="1" applyBorder="1" applyAlignment="1">
      <alignment vertical="center" wrapText="1"/>
    </xf>
    <xf numFmtId="183" fontId="13" fillId="0" borderId="22" xfId="10" applyNumberFormat="1" applyFont="1" applyBorder="1" applyAlignment="1">
      <alignment horizontal="center" vertical="center" wrapText="1"/>
    </xf>
    <xf numFmtId="183" fontId="7" fillId="0" borderId="22" xfId="10" applyNumberFormat="1" applyFont="1" applyBorder="1" applyAlignment="1">
      <alignment horizontal="right" vertical="center" wrapText="1"/>
    </xf>
    <xf numFmtId="183" fontId="7" fillId="0" borderId="22" xfId="10" applyNumberFormat="1" applyFont="1" applyBorder="1" applyAlignment="1">
      <alignment horizontal="center" vertical="center" wrapText="1"/>
    </xf>
    <xf numFmtId="183" fontId="13" fillId="0" borderId="22" xfId="10" applyNumberFormat="1" applyFont="1" applyBorder="1" applyAlignment="1">
      <alignment vertical="center" wrapText="1"/>
    </xf>
    <xf numFmtId="183" fontId="13" fillId="0" borderId="22" xfId="10" applyNumberFormat="1" applyFont="1" applyBorder="1" applyAlignment="1">
      <alignment horizontal="right" vertical="center" wrapText="1"/>
    </xf>
    <xf numFmtId="189" fontId="60" fillId="0" borderId="0" xfId="1" applyNumberFormat="1" applyFont="1" applyAlignment="1">
      <alignment vertical="center"/>
    </xf>
    <xf numFmtId="166" fontId="13" fillId="0" borderId="4" xfId="1" applyNumberFormat="1" applyFont="1" applyBorder="1" applyAlignment="1">
      <alignment vertical="center" wrapText="1"/>
    </xf>
    <xf numFmtId="184" fontId="7" fillId="2" borderId="22" xfId="2" applyNumberFormat="1" applyFont="1" applyFill="1" applyBorder="1" applyAlignment="1">
      <alignment vertical="center" wrapText="1"/>
    </xf>
    <xf numFmtId="184" fontId="13" fillId="2" borderId="22" xfId="2" applyNumberFormat="1" applyFont="1" applyFill="1" applyBorder="1" applyAlignment="1">
      <alignment vertical="center" wrapText="1"/>
    </xf>
    <xf numFmtId="190" fontId="7" fillId="0" borderId="0" xfId="10" applyNumberFormat="1" applyFont="1" applyAlignment="1">
      <alignment vertical="center" wrapText="1"/>
    </xf>
    <xf numFmtId="191" fontId="13" fillId="0" borderId="0" xfId="0" applyNumberFormat="1" applyFont="1" applyAlignment="1">
      <alignment vertical="center" wrapText="1"/>
    </xf>
    <xf numFmtId="166" fontId="7" fillId="0" borderId="4" xfId="1" applyNumberFormat="1" applyFont="1" applyBorder="1" applyAlignment="1">
      <alignment vertical="center" wrapText="1"/>
    </xf>
    <xf numFmtId="0" fontId="39" fillId="2" borderId="23"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0" fontId="39" fillId="2" borderId="23"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27" fillId="0" borderId="22" xfId="0" applyFont="1" applyBorder="1" applyAlignment="1">
      <alignment horizontal="center" vertical="center" wrapText="1"/>
    </xf>
    <xf numFmtId="166" fontId="55" fillId="0" borderId="22" xfId="0" applyNumberFormat="1" applyFont="1" applyBorder="1" applyAlignment="1">
      <alignment horizontal="center" vertical="center" wrapText="1"/>
    </xf>
    <xf numFmtId="0" fontId="109" fillId="0" borderId="0" xfId="0" applyFont="1"/>
    <xf numFmtId="0" fontId="50" fillId="0" borderId="0" xfId="0" applyFont="1" applyAlignment="1">
      <alignment vertical="center"/>
    </xf>
    <xf numFmtId="0" fontId="44" fillId="0" borderId="0" xfId="0" applyFont="1" applyAlignment="1">
      <alignment vertical="center"/>
    </xf>
    <xf numFmtId="0" fontId="22" fillId="0" borderId="22" xfId="0" applyFont="1" applyBorder="1" applyAlignment="1">
      <alignment horizontal="center" vertical="center"/>
    </xf>
    <xf numFmtId="0" fontId="22" fillId="0" borderId="22" xfId="0" applyFont="1" applyBorder="1" applyAlignment="1">
      <alignment horizontal="left" vertical="center"/>
    </xf>
    <xf numFmtId="0" fontId="43" fillId="0" borderId="22" xfId="0" applyFont="1" applyBorder="1" applyAlignment="1">
      <alignment horizontal="center" vertical="center"/>
    </xf>
    <xf numFmtId="0" fontId="22" fillId="0" borderId="0" xfId="0" applyFont="1" applyAlignment="1">
      <alignment horizontal="center" vertical="center"/>
    </xf>
    <xf numFmtId="0" fontId="5" fillId="0" borderId="22" xfId="0" applyFont="1" applyBorder="1" applyAlignment="1">
      <alignment horizontal="center" vertical="center"/>
    </xf>
    <xf numFmtId="0" fontId="5" fillId="0" borderId="22" xfId="0" applyFont="1" applyBorder="1" applyAlignment="1">
      <alignment vertical="center" wrapText="1"/>
    </xf>
    <xf numFmtId="174" fontId="5" fillId="0" borderId="22" xfId="10" applyNumberFormat="1" applyFont="1" applyBorder="1" applyAlignment="1">
      <alignment horizontal="right" vertical="center" wrapText="1"/>
    </xf>
    <xf numFmtId="0" fontId="12" fillId="0" borderId="22" xfId="0" applyFont="1" applyBorder="1" applyAlignment="1">
      <alignment horizontal="center" vertical="center" wrapText="1"/>
    </xf>
    <xf numFmtId="0" fontId="5" fillId="0" borderId="0" xfId="0" applyFont="1" applyAlignment="1">
      <alignment horizontal="center" vertical="center"/>
    </xf>
    <xf numFmtId="3" fontId="5" fillId="2" borderId="22" xfId="0" applyNumberFormat="1" applyFont="1" applyFill="1" applyBorder="1" applyAlignment="1">
      <alignment horizontal="justify" vertical="center" wrapText="1"/>
    </xf>
    <xf numFmtId="2" fontId="5" fillId="2" borderId="22" xfId="0" applyNumberFormat="1" applyFont="1" applyFill="1" applyBorder="1" applyAlignment="1">
      <alignment horizontal="justify" vertical="center" wrapText="1"/>
    </xf>
    <xf numFmtId="174" fontId="22" fillId="0" borderId="22" xfId="0" applyNumberFormat="1" applyFont="1" applyBorder="1" applyAlignment="1">
      <alignment horizontal="right" vertical="center" wrapText="1"/>
    </xf>
    <xf numFmtId="0" fontId="5" fillId="0" borderId="22" xfId="0" applyFont="1" applyBorder="1" applyAlignment="1">
      <alignment vertical="center"/>
    </xf>
    <xf numFmtId="3" fontId="5" fillId="0" borderId="22" xfId="83" quotePrefix="1" applyNumberFormat="1" applyFont="1" applyFill="1" applyBorder="1" applyAlignment="1">
      <alignment vertical="center" wrapText="1"/>
    </xf>
    <xf numFmtId="167" fontId="5" fillId="0" borderId="22" xfId="80" applyNumberFormat="1" applyFont="1" applyBorder="1" applyAlignment="1">
      <alignment horizontal="right" vertical="center"/>
    </xf>
    <xf numFmtId="0" fontId="12" fillId="2" borderId="22" xfId="0" applyFont="1" applyFill="1" applyBorder="1" applyAlignment="1">
      <alignment horizontal="center" vertical="center" wrapText="1"/>
    </xf>
    <xf numFmtId="167" fontId="5" fillId="0" borderId="22" xfId="10" applyNumberFormat="1" applyFont="1" applyBorder="1" applyAlignment="1">
      <alignment vertical="center"/>
    </xf>
    <xf numFmtId="169" fontId="44" fillId="0" borderId="0" xfId="84" applyNumberFormat="1" applyFont="1"/>
    <xf numFmtId="0" fontId="5" fillId="0" borderId="0" xfId="0" applyFont="1" applyBorder="1" applyAlignment="1">
      <alignment horizontal="center" vertical="center"/>
    </xf>
    <xf numFmtId="3" fontId="5" fillId="0" borderId="0" xfId="83" quotePrefix="1" applyNumberFormat="1" applyFont="1" applyFill="1" applyBorder="1" applyAlignment="1">
      <alignment vertical="center" wrapText="1"/>
    </xf>
    <xf numFmtId="167" fontId="5" fillId="0" borderId="0" xfId="80" applyNumberFormat="1" applyFont="1" applyBorder="1" applyAlignment="1">
      <alignment horizontal="right" vertical="center"/>
    </xf>
    <xf numFmtId="174" fontId="5" fillId="0" borderId="0" xfId="10" applyNumberFormat="1" applyFont="1" applyBorder="1" applyAlignment="1">
      <alignment horizontal="right" vertical="center" wrapText="1"/>
    </xf>
    <xf numFmtId="0" fontId="12" fillId="2" borderId="0" xfId="0" applyFont="1" applyFill="1" applyBorder="1" applyAlignment="1">
      <alignment horizontal="center" vertical="center" wrapText="1"/>
    </xf>
    <xf numFmtId="0" fontId="127" fillId="0" borderId="0" xfId="0" applyFont="1" applyAlignment="1">
      <alignment horizontal="center"/>
    </xf>
    <xf numFmtId="0" fontId="94" fillId="0" borderId="0" xfId="0" applyFont="1" applyAlignment="1">
      <alignment horizontal="center"/>
    </xf>
    <xf numFmtId="169" fontId="94" fillId="0" borderId="0" xfId="84" applyNumberFormat="1" applyFont="1" applyAlignment="1">
      <alignment horizontal="center"/>
    </xf>
    <xf numFmtId="0" fontId="127" fillId="0" borderId="22" xfId="0" applyFont="1" applyBorder="1" applyAlignment="1">
      <alignment horizontal="center" vertical="center" wrapText="1"/>
    </xf>
    <xf numFmtId="172" fontId="40" fillId="2" borderId="7" xfId="9" applyNumberFormat="1" applyFont="1" applyFill="1" applyBorder="1" applyAlignment="1">
      <alignment horizontal="right" vertical="center" wrapText="1"/>
    </xf>
    <xf numFmtId="172" fontId="38" fillId="0" borderId="17" xfId="9" applyNumberFormat="1" applyFont="1" applyBorder="1" applyAlignment="1">
      <alignment horizontal="right" vertical="center" wrapText="1"/>
    </xf>
    <xf numFmtId="172" fontId="38" fillId="0" borderId="22" xfId="9" applyNumberFormat="1" applyFont="1" applyBorder="1" applyAlignment="1">
      <alignment horizontal="right" vertical="center" wrapText="1"/>
    </xf>
    <xf numFmtId="0" fontId="13" fillId="0" borderId="0" xfId="0" applyFont="1" applyFill="1" applyAlignment="1">
      <alignment vertical="center"/>
    </xf>
    <xf numFmtId="174" fontId="60" fillId="0" borderId="22" xfId="0" applyNumberFormat="1" applyFont="1" applyFill="1" applyBorder="1" applyAlignment="1">
      <alignment horizontal="right" vertical="center" wrapText="1"/>
    </xf>
    <xf numFmtId="174" fontId="53" fillId="0" borderId="22" xfId="10" applyNumberFormat="1" applyFont="1" applyFill="1" applyBorder="1" applyAlignment="1">
      <alignment horizontal="right" vertical="center" wrapText="1"/>
    </xf>
    <xf numFmtId="167" fontId="53" fillId="0" borderId="22" xfId="80" applyNumberFormat="1" applyFont="1" applyFill="1" applyBorder="1" applyAlignment="1">
      <alignment horizontal="right" vertical="center"/>
    </xf>
    <xf numFmtId="167" fontId="53" fillId="0" borderId="0" xfId="80" applyNumberFormat="1" applyFont="1" applyFill="1" applyBorder="1" applyAlignment="1">
      <alignment horizontal="right" vertical="center"/>
    </xf>
    <xf numFmtId="169" fontId="13" fillId="0" borderId="0" xfId="84" applyNumberFormat="1" applyFont="1" applyFill="1"/>
    <xf numFmtId="0" fontId="94" fillId="0" borderId="0" xfId="0" applyFont="1" applyAlignment="1">
      <alignment horizontal="right" vertical="center" wrapText="1"/>
    </xf>
    <xf numFmtId="0" fontId="127" fillId="0" borderId="22" xfId="0" applyFont="1" applyBorder="1" applyAlignment="1">
      <alignment vertical="center" wrapText="1"/>
    </xf>
    <xf numFmtId="0" fontId="99" fillId="0" borderId="22" xfId="0" applyFont="1" applyBorder="1" applyAlignment="1">
      <alignment vertical="center" wrapText="1"/>
    </xf>
    <xf numFmtId="174" fontId="99" fillId="0" borderId="22" xfId="10" applyNumberFormat="1" applyFont="1" applyBorder="1" applyAlignment="1">
      <alignment horizontal="right" vertical="center" wrapText="1"/>
    </xf>
    <xf numFmtId="174" fontId="160" fillId="0" borderId="7" xfId="10" applyNumberFormat="1" applyFont="1" applyFill="1" applyBorder="1" applyAlignment="1">
      <alignment horizontal="right" vertical="center" wrapText="1"/>
    </xf>
    <xf numFmtId="174" fontId="62" fillId="0" borderId="7" xfId="10" applyNumberFormat="1" applyFont="1" applyFill="1" applyBorder="1" applyAlignment="1">
      <alignment horizontal="right" vertical="center" wrapText="1"/>
    </xf>
    <xf numFmtId="174" fontId="142" fillId="0" borderId="7" xfId="10" applyNumberFormat="1" applyFont="1" applyFill="1" applyBorder="1" applyAlignment="1">
      <alignment horizontal="right" vertical="center" wrapText="1"/>
    </xf>
    <xf numFmtId="3" fontId="121" fillId="0" borderId="7" xfId="3" applyNumberFormat="1" applyFont="1" applyFill="1" applyBorder="1" applyAlignment="1">
      <alignment vertical="center" wrapText="1"/>
    </xf>
    <xf numFmtId="3" fontId="138" fillId="0" borderId="7" xfId="3" applyNumberFormat="1" applyFont="1" applyFill="1" applyBorder="1" applyAlignment="1">
      <alignment vertical="center" wrapText="1"/>
    </xf>
    <xf numFmtId="0" fontId="90" fillId="0" borderId="7" xfId="0" applyFont="1" applyBorder="1" applyAlignment="1">
      <alignment vertical="center" wrapText="1"/>
    </xf>
    <xf numFmtId="3" fontId="104" fillId="0" borderId="7" xfId="0" applyNumberFormat="1" applyFont="1" applyFill="1" applyBorder="1" applyAlignment="1">
      <alignment horizontal="left" vertical="center" wrapText="1"/>
    </xf>
    <xf numFmtId="3" fontId="13" fillId="0" borderId="8" xfId="3" quotePrefix="1" applyNumberFormat="1" applyFont="1" applyFill="1" applyBorder="1" applyAlignment="1">
      <alignment horizontal="center" vertical="center" wrapText="1"/>
    </xf>
    <xf numFmtId="3" fontId="13" fillId="0" borderId="8" xfId="3" applyNumberFormat="1" applyFont="1" applyFill="1" applyBorder="1" applyAlignment="1">
      <alignment vertical="center" wrapText="1"/>
    </xf>
    <xf numFmtId="174" fontId="160" fillId="0" borderId="8" xfId="10" applyNumberFormat="1" applyFont="1" applyFill="1" applyBorder="1" applyAlignment="1">
      <alignment horizontal="right" vertical="center" wrapText="1"/>
    </xf>
    <xf numFmtId="0" fontId="38" fillId="2" borderId="2" xfId="0" applyFont="1" applyFill="1" applyBorder="1" applyAlignment="1">
      <alignment horizontal="left" vertical="center" wrapText="1"/>
    </xf>
    <xf numFmtId="0" fontId="38" fillId="2" borderId="22" xfId="0" applyFont="1" applyFill="1" applyBorder="1" applyAlignment="1">
      <alignment horizontal="center" vertical="center" wrapText="1"/>
    </xf>
    <xf numFmtId="3" fontId="53" fillId="0" borderId="22" xfId="0" applyNumberFormat="1" applyFont="1" applyFill="1" applyBorder="1" applyAlignment="1">
      <alignment horizontal="left" vertical="center" wrapText="1"/>
    </xf>
    <xf numFmtId="0" fontId="39" fillId="2" borderId="22" xfId="0" applyFont="1" applyFill="1" applyBorder="1" applyAlignment="1">
      <alignment horizontal="center" vertical="center" wrapText="1"/>
    </xf>
    <xf numFmtId="3" fontId="39" fillId="2" borderId="22" xfId="0" applyNumberFormat="1" applyFont="1" applyFill="1" applyBorder="1" applyAlignment="1">
      <alignment horizontal="right" vertical="center" wrapText="1"/>
    </xf>
    <xf numFmtId="174" fontId="13" fillId="0" borderId="7" xfId="10" applyNumberFormat="1" applyFont="1" applyBorder="1" applyAlignment="1">
      <alignment horizontal="right" vertical="center" wrapText="1"/>
    </xf>
    <xf numFmtId="174" fontId="7" fillId="0" borderId="7" xfId="10" applyNumberFormat="1" applyFont="1" applyBorder="1" applyAlignment="1">
      <alignment horizontal="right" vertical="center" wrapText="1"/>
    </xf>
    <xf numFmtId="174" fontId="13" fillId="0" borderId="8" xfId="10" applyNumberFormat="1" applyFont="1" applyBorder="1" applyAlignment="1">
      <alignment horizontal="right" vertical="center" wrapText="1"/>
    </xf>
    <xf numFmtId="174" fontId="7" fillId="0" borderId="9" xfId="10" applyNumberFormat="1" applyFont="1" applyBorder="1" applyAlignment="1">
      <alignment horizontal="right" vertical="center" wrapText="1"/>
    </xf>
    <xf numFmtId="174" fontId="13" fillId="0" borderId="9" xfId="10" applyNumberFormat="1" applyFont="1" applyBorder="1" applyAlignment="1">
      <alignment horizontal="right" vertical="center" wrapText="1"/>
    </xf>
    <xf numFmtId="0" fontId="99" fillId="0" borderId="8" xfId="0" applyFont="1" applyBorder="1" applyAlignment="1">
      <alignment horizontal="center" vertical="center"/>
    </xf>
    <xf numFmtId="0" fontId="94" fillId="0" borderId="8" xfId="0" applyFont="1" applyBorder="1" applyAlignment="1">
      <alignment vertical="center"/>
    </xf>
    <xf numFmtId="0" fontId="94" fillId="0" borderId="0" xfId="0" applyFont="1" applyAlignment="1">
      <alignment horizontal="right" vertical="center"/>
    </xf>
    <xf numFmtId="0" fontId="10" fillId="0" borderId="7" xfId="0" applyFont="1" applyBorder="1" applyAlignment="1">
      <alignment horizontal="center" vertical="center" wrapText="1"/>
    </xf>
    <xf numFmtId="0" fontId="44" fillId="0" borderId="7" xfId="0" applyFont="1" applyBorder="1" applyAlignment="1">
      <alignment horizontal="left" vertical="center"/>
    </xf>
    <xf numFmtId="175" fontId="27" fillId="0" borderId="7" xfId="9" applyNumberFormat="1" applyFont="1" applyBorder="1" applyAlignment="1">
      <alignment vertical="center" wrapText="1"/>
    </xf>
    <xf numFmtId="172" fontId="27" fillId="0" borderId="7" xfId="9" applyNumberFormat="1" applyFont="1" applyBorder="1" applyAlignment="1">
      <alignment vertical="center" wrapText="1"/>
    </xf>
    <xf numFmtId="175" fontId="53" fillId="0" borderId="7" xfId="9" applyNumberFormat="1" applyFont="1" applyBorder="1" applyAlignment="1">
      <alignment vertical="center" wrapText="1"/>
    </xf>
    <xf numFmtId="164" fontId="53" fillId="0" borderId="7" xfId="9" applyNumberFormat="1" applyFont="1" applyBorder="1" applyAlignment="1">
      <alignment vertical="center" wrapText="1"/>
    </xf>
    <xf numFmtId="175" fontId="53" fillId="0" borderId="0" xfId="0" applyNumberFormat="1" applyFont="1"/>
    <xf numFmtId="0" fontId="10" fillId="0" borderId="8" xfId="0" applyFont="1" applyBorder="1" applyAlignment="1">
      <alignment horizontal="center" vertical="center" wrapText="1"/>
    </xf>
    <xf numFmtId="0" fontId="44" fillId="0" borderId="8" xfId="0" applyFont="1" applyBorder="1" applyAlignment="1">
      <alignment horizontal="left" vertical="center" wrapText="1"/>
    </xf>
    <xf numFmtId="175" fontId="27" fillId="0" borderId="8" xfId="9" applyNumberFormat="1" applyFont="1" applyBorder="1" applyAlignment="1">
      <alignment vertical="center" wrapText="1"/>
    </xf>
    <xf numFmtId="164" fontId="27" fillId="0" borderId="8" xfId="9" applyNumberFormat="1" applyFont="1" applyBorder="1" applyAlignment="1">
      <alignment vertical="center" wrapText="1"/>
    </xf>
    <xf numFmtId="174" fontId="5" fillId="0" borderId="22" xfId="10" applyNumberFormat="1" applyFont="1" applyBorder="1" applyAlignment="1">
      <alignment horizontal="center" vertical="center" wrapText="1"/>
    </xf>
    <xf numFmtId="0" fontId="100" fillId="0" borderId="22" xfId="0" applyFont="1" applyBorder="1" applyAlignment="1">
      <alignment horizontal="center" vertical="center"/>
    </xf>
    <xf numFmtId="0" fontId="74" fillId="0" borderId="22" xfId="0" applyFont="1" applyFill="1" applyBorder="1" applyAlignment="1">
      <alignment horizontal="center" vertical="center"/>
    </xf>
    <xf numFmtId="0" fontId="100" fillId="0" borderId="0" xfId="0" applyFont="1" applyAlignment="1">
      <alignment horizontal="center" vertical="center"/>
    </xf>
    <xf numFmtId="167" fontId="5" fillId="0" borderId="22" xfId="10" applyNumberFormat="1" applyFont="1" applyBorder="1" applyAlignment="1">
      <alignment horizontal="center" vertical="center"/>
    </xf>
    <xf numFmtId="174" fontId="99" fillId="0" borderId="22" xfId="10" applyNumberFormat="1" applyFont="1" applyBorder="1" applyAlignment="1">
      <alignment vertical="center" wrapText="1"/>
    </xf>
    <xf numFmtId="174" fontId="127" fillId="0" borderId="22" xfId="0" applyNumberFormat="1" applyFont="1" applyBorder="1" applyAlignment="1">
      <alignment vertical="center" wrapText="1"/>
    </xf>
    <xf numFmtId="169" fontId="127" fillId="0" borderId="0" xfId="84" applyNumberFormat="1" applyFont="1" applyAlignment="1">
      <alignment horizontal="center" vertical="center" wrapText="1"/>
    </xf>
    <xf numFmtId="0" fontId="9"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vertical="center" wrapText="1"/>
    </xf>
    <xf numFmtId="3" fontId="12" fillId="0" borderId="22" xfId="39" applyNumberFormat="1" applyFont="1" applyBorder="1" applyAlignment="1">
      <alignment horizontal="right" vertical="center" wrapText="1"/>
    </xf>
    <xf numFmtId="174" fontId="7" fillId="0" borderId="22" xfId="10" applyNumberFormat="1" applyFont="1" applyBorder="1" applyAlignment="1">
      <alignment horizontal="right" vertical="center" wrapText="1"/>
    </xf>
    <xf numFmtId="174" fontId="13" fillId="0" borderId="22" xfId="10" applyNumberFormat="1" applyFont="1" applyBorder="1" applyAlignment="1">
      <alignment horizontal="right" vertical="center" wrapText="1"/>
    </xf>
    <xf numFmtId="0" fontId="14" fillId="0" borderId="22" xfId="0" applyFont="1" applyBorder="1" applyAlignment="1">
      <alignment vertical="center" wrapText="1"/>
    </xf>
    <xf numFmtId="174" fontId="14" fillId="0" borderId="22" xfId="10" applyNumberFormat="1" applyFont="1" applyBorder="1" applyAlignment="1">
      <alignment horizontal="right" vertical="center" wrapText="1"/>
    </xf>
    <xf numFmtId="0" fontId="14" fillId="0" borderId="0" xfId="0" applyFont="1" applyAlignment="1">
      <alignment vertical="center"/>
    </xf>
    <xf numFmtId="0" fontId="99" fillId="0" borderId="9" xfId="0" applyFont="1" applyBorder="1" applyAlignment="1">
      <alignment vertical="center" wrapText="1"/>
    </xf>
    <xf numFmtId="166" fontId="24" fillId="0" borderId="1" xfId="0" applyNumberFormat="1" applyFont="1" applyFill="1" applyBorder="1" applyAlignment="1">
      <alignment horizontal="right"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43" fillId="0" borderId="22" xfId="0" applyFont="1" applyBorder="1" applyAlignment="1">
      <alignment horizontal="center" vertical="center" wrapText="1"/>
    </xf>
    <xf numFmtId="174" fontId="12" fillId="0" borderId="22" xfId="10" applyNumberFormat="1" applyFont="1" applyBorder="1" applyAlignment="1">
      <alignment horizontal="center" vertical="center" wrapText="1"/>
    </xf>
    <xf numFmtId="0" fontId="43" fillId="0" borderId="22" xfId="0" applyFont="1" applyBorder="1" applyAlignment="1">
      <alignment horizontal="left" vertical="center" wrapText="1"/>
    </xf>
    <xf numFmtId="0" fontId="122" fillId="0" borderId="22" xfId="0" applyFont="1" applyBorder="1" applyAlignment="1">
      <alignment horizontal="center" vertical="center" wrapText="1"/>
    </xf>
    <xf numFmtId="0" fontId="161" fillId="0" borderId="0" xfId="0" applyFont="1"/>
    <xf numFmtId="0" fontId="13" fillId="0" borderId="24" xfId="0" applyFont="1" applyFill="1" applyBorder="1" applyAlignment="1">
      <alignment horizontal="center" vertical="center" wrapText="1"/>
    </xf>
    <xf numFmtId="0" fontId="53" fillId="0" borderId="24" xfId="0" applyNumberFormat="1" applyFont="1" applyFill="1" applyBorder="1" applyAlignment="1">
      <alignment horizontal="justify" vertical="center" wrapText="1"/>
    </xf>
    <xf numFmtId="164" fontId="39" fillId="0" borderId="24" xfId="9" applyNumberFormat="1" applyFont="1" applyFill="1" applyBorder="1" applyAlignment="1">
      <alignment horizontal="right" vertical="center" wrapText="1"/>
    </xf>
    <xf numFmtId="164" fontId="38" fillId="0" borderId="24" xfId="9" applyNumberFormat="1" applyFont="1" applyFill="1" applyBorder="1" applyAlignment="1">
      <alignment horizontal="right" vertical="center" wrapText="1"/>
    </xf>
    <xf numFmtId="9" fontId="39" fillId="0" borderId="24" xfId="64" applyFont="1" applyFill="1" applyBorder="1" applyAlignment="1">
      <alignment horizontal="right" vertical="center" wrapText="1"/>
    </xf>
    <xf numFmtId="0" fontId="13" fillId="0" borderId="7" xfId="0" applyFont="1" applyFill="1" applyBorder="1" applyAlignment="1">
      <alignment horizontal="center" vertical="center" wrapText="1"/>
    </xf>
    <xf numFmtId="164" fontId="38" fillId="0" borderId="7" xfId="9" applyNumberFormat="1" applyFont="1" applyFill="1" applyBorder="1" applyAlignment="1">
      <alignment horizontal="right" vertical="center" wrapText="1"/>
    </xf>
    <xf numFmtId="0" fontId="13" fillId="0" borderId="8" xfId="0" applyFont="1" applyFill="1" applyBorder="1" applyAlignment="1">
      <alignment horizontal="center" vertical="center" wrapText="1"/>
    </xf>
    <xf numFmtId="164" fontId="38" fillId="0" borderId="8" xfId="9" applyNumberFormat="1" applyFont="1" applyFill="1" applyBorder="1" applyAlignment="1">
      <alignment horizontal="right" vertical="center" wrapText="1"/>
    </xf>
    <xf numFmtId="0" fontId="10" fillId="0" borderId="9" xfId="0" applyFont="1" applyBorder="1" applyAlignment="1">
      <alignment horizontal="center" vertical="center" wrapText="1"/>
    </xf>
    <xf numFmtId="0" fontId="44" fillId="0" borderId="9" xfId="0" applyFont="1" applyBorder="1" applyAlignment="1">
      <alignment horizontal="left" vertical="center"/>
    </xf>
    <xf numFmtId="175" fontId="27" fillId="0" borderId="9" xfId="9" applyNumberFormat="1" applyFont="1" applyBorder="1" applyAlignment="1">
      <alignment vertical="center" wrapText="1"/>
    </xf>
    <xf numFmtId="164" fontId="27" fillId="0" borderId="9" xfId="9" applyNumberFormat="1" applyFont="1" applyBorder="1" applyAlignment="1">
      <alignment vertical="center" wrapText="1"/>
    </xf>
    <xf numFmtId="164" fontId="9" fillId="0" borderId="22" xfId="9" applyNumberFormat="1" applyFont="1" applyBorder="1" applyAlignment="1">
      <alignment horizontal="center" vertical="center" wrapText="1"/>
    </xf>
    <xf numFmtId="164" fontId="9" fillId="0" borderId="22" xfId="0" applyNumberFormat="1" applyFont="1" applyBorder="1" applyAlignment="1">
      <alignment horizontal="center" vertical="center" wrapText="1"/>
    </xf>
    <xf numFmtId="0" fontId="95" fillId="0" borderId="0" xfId="0" applyFont="1" applyFill="1" applyBorder="1" applyAlignment="1">
      <alignment vertical="top" wrapText="1"/>
    </xf>
    <xf numFmtId="0" fontId="36" fillId="0" borderId="0" xfId="0" applyFont="1" applyFill="1" applyBorder="1" applyAlignment="1">
      <alignment horizontal="left" vertical="top"/>
    </xf>
    <xf numFmtId="0" fontId="36" fillId="0" borderId="25" xfId="0" applyFont="1" applyFill="1" applyBorder="1" applyAlignment="1">
      <alignment horizontal="left" vertical="center" wrapText="1"/>
    </xf>
    <xf numFmtId="0" fontId="38" fillId="0" borderId="0" xfId="0" applyNumberFormat="1" applyFont="1" applyFill="1" applyBorder="1" applyAlignment="1" applyProtection="1">
      <alignment vertical="top"/>
    </xf>
    <xf numFmtId="0" fontId="36" fillId="0" borderId="0" xfId="0" applyFont="1" applyFill="1" applyBorder="1" applyAlignment="1">
      <alignment horizontal="left" vertical="center"/>
    </xf>
    <xf numFmtId="0" fontId="75" fillId="0" borderId="0" xfId="0" applyFont="1" applyFill="1" applyBorder="1" applyAlignment="1">
      <alignment horizontal="center" vertical="center"/>
    </xf>
    <xf numFmtId="0" fontId="63" fillId="0" borderId="25" xfId="0" applyFont="1" applyFill="1" applyBorder="1" applyAlignment="1">
      <alignment horizontal="center" vertical="center" wrapText="1"/>
    </xf>
    <xf numFmtId="0" fontId="95" fillId="0" borderId="25" xfId="0" applyFont="1" applyFill="1" applyBorder="1" applyAlignment="1">
      <alignment horizontal="left" vertical="center" wrapText="1"/>
    </xf>
    <xf numFmtId="3" fontId="37" fillId="0" borderId="25" xfId="0" applyNumberFormat="1" applyFont="1" applyFill="1" applyBorder="1" applyAlignment="1">
      <alignment horizontal="right" vertical="center" shrinkToFit="1"/>
    </xf>
    <xf numFmtId="1" fontId="37" fillId="0" borderId="25" xfId="0" applyNumberFormat="1" applyFont="1" applyFill="1" applyBorder="1" applyAlignment="1">
      <alignment horizontal="right" vertical="center" shrinkToFit="1"/>
    </xf>
    <xf numFmtId="0" fontId="36" fillId="0" borderId="0" xfId="0" applyFont="1" applyFill="1" applyBorder="1" applyAlignment="1">
      <alignment vertical="top" wrapText="1"/>
    </xf>
    <xf numFmtId="0" fontId="95" fillId="0" borderId="0" xfId="0" applyNumberFormat="1" applyFont="1" applyFill="1" applyBorder="1" applyAlignment="1" applyProtection="1">
      <alignment horizontal="left" vertical="top"/>
    </xf>
    <xf numFmtId="0" fontId="95"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53" fillId="0" borderId="0" xfId="0" applyFont="1" applyAlignment="1">
      <alignment horizontal="left"/>
    </xf>
    <xf numFmtId="0" fontId="28" fillId="0" borderId="0" xfId="0" applyFont="1" applyAlignment="1">
      <alignment horizontal="center" vertical="center" wrapText="1"/>
    </xf>
    <xf numFmtId="0" fontId="64" fillId="0" borderId="0" xfId="0" applyFont="1" applyAlignment="1">
      <alignment horizontal="center" vertical="center" wrapText="1"/>
    </xf>
    <xf numFmtId="0" fontId="8" fillId="0" borderId="0" xfId="0" applyFont="1" applyAlignment="1">
      <alignment horizontal="center" vertical="center" wrapText="1"/>
    </xf>
    <xf numFmtId="0" fontId="38" fillId="0" borderId="22" xfId="0" applyFont="1" applyFill="1" applyBorder="1" applyAlignment="1">
      <alignment horizontal="center" vertical="center" wrapText="1"/>
    </xf>
    <xf numFmtId="0" fontId="28" fillId="0" borderId="22" xfId="0" applyFont="1" applyBorder="1" applyAlignment="1">
      <alignment horizontal="center" vertical="center" wrapText="1"/>
    </xf>
    <xf numFmtId="0" fontId="32" fillId="0" borderId="22" xfId="0" applyFont="1" applyBorder="1" applyAlignment="1">
      <alignment horizontal="center" vertical="center" wrapText="1"/>
    </xf>
    <xf numFmtId="0" fontId="11" fillId="0" borderId="0" xfId="0" applyFont="1" applyAlignment="1">
      <alignment horizontal="center" vertical="center" wrapText="1"/>
    </xf>
    <xf numFmtId="0" fontId="68" fillId="0" borderId="0" xfId="0" applyFont="1" applyAlignment="1">
      <alignment horizontal="center"/>
    </xf>
    <xf numFmtId="0" fontId="45" fillId="0" borderId="0" xfId="0" applyFont="1" applyAlignment="1">
      <alignment horizontal="center" vertical="center" wrapText="1"/>
    </xf>
    <xf numFmtId="0" fontId="7" fillId="0" borderId="0" xfId="0" applyFont="1" applyAlignment="1">
      <alignment horizontal="center"/>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43" fillId="0" borderId="0" xfId="0" applyFont="1" applyFill="1" applyBorder="1" applyAlignment="1">
      <alignment horizontal="center" vertical="center"/>
    </xf>
    <xf numFmtId="0" fontId="53" fillId="0" borderId="0" xfId="0" applyNumberFormat="1" applyFont="1" applyFill="1" applyBorder="1" applyAlignment="1" applyProtection="1">
      <alignment vertical="top"/>
    </xf>
    <xf numFmtId="0" fontId="60" fillId="0" borderId="0" xfId="0" applyNumberFormat="1" applyFont="1" applyFill="1" applyBorder="1" applyAlignment="1" applyProtection="1">
      <alignment vertical="top"/>
    </xf>
    <xf numFmtId="0" fontId="74" fillId="0" borderId="0" xfId="0" applyNumberFormat="1" applyFont="1" applyFill="1" applyBorder="1" applyAlignment="1" applyProtection="1">
      <alignment horizontal="right" vertical="center"/>
    </xf>
    <xf numFmtId="172" fontId="60" fillId="0" borderId="22" xfId="9" applyNumberFormat="1" applyFont="1" applyBorder="1" applyAlignment="1">
      <alignment horizontal="center" vertical="center" wrapText="1"/>
    </xf>
    <xf numFmtId="172" fontId="7" fillId="0" borderId="22" xfId="9" applyNumberFormat="1" applyFont="1" applyBorder="1" applyAlignment="1">
      <alignment horizontal="right" vertical="center" wrapText="1"/>
    </xf>
    <xf numFmtId="4" fontId="7" fillId="0" borderId="22" xfId="0" applyNumberFormat="1" applyFont="1" applyBorder="1" applyAlignment="1">
      <alignment horizontal="left" vertical="center" wrapText="1"/>
    </xf>
    <xf numFmtId="166" fontId="7" fillId="0" borderId="22" xfId="0" applyNumberFormat="1" applyFont="1" applyBorder="1" applyAlignment="1">
      <alignment horizontal="right" vertical="center" wrapText="1"/>
    </xf>
    <xf numFmtId="166" fontId="7" fillId="0" borderId="22" xfId="0" applyNumberFormat="1" applyFont="1" applyBorder="1" applyAlignment="1">
      <alignment vertical="center" wrapText="1"/>
    </xf>
    <xf numFmtId="166" fontId="32" fillId="0" borderId="7" xfId="9" applyNumberFormat="1" applyFont="1" applyBorder="1" applyAlignment="1">
      <alignment horizontal="right" vertical="center" wrapText="1"/>
    </xf>
    <xf numFmtId="166" fontId="32" fillId="0" borderId="7" xfId="0" applyNumberFormat="1" applyFont="1" applyBorder="1" applyAlignment="1">
      <alignment horizontal="right" vertical="center" wrapText="1"/>
    </xf>
    <xf numFmtId="0" fontId="32" fillId="0" borderId="23" xfId="0" applyFont="1" applyBorder="1" applyAlignment="1">
      <alignment horizontal="center" vertical="center" wrapText="1"/>
    </xf>
    <xf numFmtId="0" fontId="43" fillId="0" borderId="0" xfId="0" applyFont="1"/>
    <xf numFmtId="166" fontId="38" fillId="0" borderId="23" xfId="0" applyNumberFormat="1" applyFont="1" applyBorder="1" applyAlignment="1">
      <alignment horizontal="right" vertical="center" wrapText="1"/>
    </xf>
    <xf numFmtId="0" fontId="38" fillId="0" borderId="7" xfId="0" applyFont="1" applyFill="1" applyBorder="1" applyAlignment="1">
      <alignment horizontal="justify" vertical="justify" wrapText="1"/>
    </xf>
    <xf numFmtId="0" fontId="38" fillId="0" borderId="17" xfId="0" applyFont="1" applyBorder="1" applyAlignment="1">
      <alignment horizontal="justify" vertical="center" wrapText="1"/>
    </xf>
    <xf numFmtId="0" fontId="53" fillId="0" borderId="6" xfId="0" applyFont="1" applyBorder="1" applyAlignment="1">
      <alignment horizontal="center" vertical="center" wrapText="1"/>
    </xf>
    <xf numFmtId="0" fontId="53" fillId="0" borderId="6" xfId="0" applyFont="1" applyBorder="1" applyAlignment="1">
      <alignment horizontal="justify" vertical="center" wrapText="1"/>
    </xf>
    <xf numFmtId="166" fontId="53" fillId="0" borderId="6" xfId="0" applyNumberFormat="1" applyFont="1" applyBorder="1" applyAlignment="1">
      <alignment horizontal="right" vertical="center" wrapText="1"/>
    </xf>
    <xf numFmtId="166" fontId="53" fillId="0" borderId="6" xfId="0" applyNumberFormat="1" applyFont="1" applyFill="1" applyBorder="1" applyAlignment="1">
      <alignment horizontal="right" vertical="center" wrapText="1"/>
    </xf>
    <xf numFmtId="172" fontId="53" fillId="2" borderId="6" xfId="9" applyNumberFormat="1" applyFont="1" applyFill="1" applyBorder="1" applyAlignment="1">
      <alignment horizontal="right" vertical="center" wrapText="1"/>
    </xf>
    <xf numFmtId="1" fontId="53" fillId="0" borderId="6" xfId="0" applyNumberFormat="1" applyFont="1" applyBorder="1" applyAlignment="1">
      <alignment horizontal="right" vertical="center" wrapText="1"/>
    </xf>
    <xf numFmtId="0" fontId="53" fillId="0" borderId="7" xfId="0" applyFont="1" applyBorder="1"/>
    <xf numFmtId="1" fontId="60" fillId="0" borderId="7" xfId="0" applyNumberFormat="1" applyFont="1" applyBorder="1" applyAlignment="1">
      <alignment horizontal="right" vertical="center" wrapText="1"/>
    </xf>
    <xf numFmtId="166" fontId="53" fillId="0" borderId="8" xfId="0" applyNumberFormat="1" applyFont="1" applyBorder="1" applyAlignment="1">
      <alignment horizontal="right" vertical="center" wrapText="1"/>
    </xf>
    <xf numFmtId="166" fontId="53" fillId="0" borderId="8" xfId="0" applyNumberFormat="1" applyFont="1" applyFill="1" applyBorder="1" applyAlignment="1">
      <alignment horizontal="right" vertical="center" wrapText="1"/>
    </xf>
    <xf numFmtId="172" fontId="60" fillId="2" borderId="8" xfId="9" applyNumberFormat="1" applyFont="1" applyFill="1" applyBorder="1" applyAlignment="1">
      <alignment horizontal="right" vertical="center" wrapText="1"/>
    </xf>
    <xf numFmtId="1" fontId="60" fillId="0" borderId="8" xfId="0" applyNumberFormat="1" applyFont="1" applyBorder="1" applyAlignment="1">
      <alignment horizontal="right" vertical="center" wrapText="1"/>
    </xf>
    <xf numFmtId="0" fontId="60" fillId="0" borderId="7" xfId="0" applyFont="1" applyFill="1" applyBorder="1" applyAlignment="1">
      <alignment vertical="center" wrapText="1"/>
    </xf>
    <xf numFmtId="0" fontId="45" fillId="0" borderId="0" xfId="0" applyFont="1" applyAlignment="1">
      <alignment vertical="center" wrapText="1"/>
    </xf>
    <xf numFmtId="0" fontId="9" fillId="0" borderId="0" xfId="0" applyFont="1" applyAlignment="1">
      <alignment vertical="center" wrapText="1"/>
    </xf>
    <xf numFmtId="0" fontId="46" fillId="0" borderId="0" xfId="0" applyFont="1" applyAlignment="1"/>
    <xf numFmtId="9" fontId="60" fillId="0" borderId="22" xfId="64" applyFont="1" applyFill="1" applyBorder="1" applyAlignment="1">
      <alignment horizontal="right" vertical="center" wrapText="1"/>
    </xf>
    <xf numFmtId="0" fontId="95" fillId="0" borderId="25" xfId="0" applyFont="1" applyFill="1" applyBorder="1" applyAlignment="1">
      <alignment horizontal="center" vertical="center" wrapText="1"/>
    </xf>
    <xf numFmtId="0" fontId="95" fillId="0" borderId="0" xfId="0" applyFont="1" applyFill="1" applyBorder="1" applyAlignment="1">
      <alignment horizontal="center" vertical="top" wrapText="1"/>
    </xf>
    <xf numFmtId="0" fontId="95" fillId="0" borderId="0" xfId="0" applyNumberFormat="1" applyFont="1" applyFill="1" applyBorder="1" applyAlignment="1" applyProtection="1">
      <alignment horizontal="center" vertical="top"/>
    </xf>
    <xf numFmtId="0" fontId="36" fillId="0" borderId="25" xfId="0" applyFont="1" applyFill="1" applyBorder="1" applyAlignment="1">
      <alignment horizontal="center" vertical="center" wrapText="1"/>
    </xf>
    <xf numFmtId="0" fontId="95" fillId="0" borderId="25" xfId="0" quotePrefix="1" applyFont="1" applyFill="1" applyBorder="1" applyAlignment="1">
      <alignment horizontal="center" vertical="center" wrapText="1"/>
    </xf>
    <xf numFmtId="0" fontId="36" fillId="0" borderId="0" xfId="0" applyFont="1" applyFill="1" applyBorder="1" applyAlignment="1">
      <alignment horizontal="center" vertical="top" wrapText="1"/>
    </xf>
    <xf numFmtId="0" fontId="36" fillId="0" borderId="0" xfId="0" applyFont="1" applyFill="1" applyBorder="1" applyAlignment="1">
      <alignment horizontal="center" vertical="top"/>
    </xf>
    <xf numFmtId="166" fontId="47" fillId="0" borderId="0" xfId="0" applyNumberFormat="1" applyFont="1"/>
    <xf numFmtId="0" fontId="28" fillId="0" borderId="0" xfId="0" applyFont="1" applyFill="1" applyBorder="1" applyAlignment="1">
      <alignment horizontal="center" vertical="center" wrapText="1"/>
    </xf>
    <xf numFmtId="0" fontId="22" fillId="0" borderId="0" xfId="0" applyFont="1" applyAlignment="1">
      <alignment horizontal="center"/>
    </xf>
    <xf numFmtId="0" fontId="100" fillId="0" borderId="0" xfId="0" applyFont="1" applyAlignment="1"/>
    <xf numFmtId="0" fontId="27" fillId="0" borderId="41" xfId="0" applyFont="1" applyBorder="1" applyAlignment="1">
      <alignment vertical="center" wrapText="1"/>
    </xf>
    <xf numFmtId="166" fontId="28" fillId="0" borderId="9" xfId="0" applyNumberFormat="1" applyFont="1" applyBorder="1" applyAlignment="1">
      <alignment horizontal="right" vertical="center" wrapText="1"/>
    </xf>
    <xf numFmtId="1" fontId="28" fillId="0" borderId="9" xfId="0" applyNumberFormat="1" applyFont="1" applyBorder="1" applyAlignment="1">
      <alignment vertical="center" wrapText="1"/>
    </xf>
    <xf numFmtId="0" fontId="90" fillId="0" borderId="9" xfId="0" applyFont="1" applyBorder="1" applyAlignment="1">
      <alignment horizontal="left" vertical="center" wrapText="1"/>
    </xf>
    <xf numFmtId="0" fontId="27" fillId="0" borderId="22" xfId="0" applyFont="1" applyBorder="1" applyAlignment="1">
      <alignment horizontal="center" vertical="center" wrapText="1"/>
    </xf>
    <xf numFmtId="166" fontId="28" fillId="0" borderId="22" xfId="0" applyNumberFormat="1" applyFont="1" applyBorder="1" applyAlignment="1">
      <alignment horizontal="right" vertical="center" wrapText="1"/>
    </xf>
    <xf numFmtId="166" fontId="90" fillId="0" borderId="22" xfId="0" applyNumberFormat="1" applyFont="1" applyBorder="1" applyAlignment="1">
      <alignment horizontal="right" vertical="center" wrapText="1"/>
    </xf>
    <xf numFmtId="166" fontId="27" fillId="0" borderId="22" xfId="0" applyNumberFormat="1" applyFont="1" applyBorder="1" applyAlignment="1">
      <alignment horizontal="right" vertical="center" wrapText="1"/>
    </xf>
    <xf numFmtId="9" fontId="27" fillId="0" borderId="1" xfId="64" applyFont="1" applyBorder="1" applyAlignment="1">
      <alignment horizontal="right" vertical="center" wrapText="1"/>
    </xf>
    <xf numFmtId="166" fontId="5" fillId="0" borderId="0" xfId="0" applyNumberFormat="1" applyFont="1" applyFill="1"/>
    <xf numFmtId="0" fontId="28" fillId="0" borderId="1" xfId="0" applyFont="1" applyBorder="1" applyAlignment="1">
      <alignment horizontal="center" vertical="center" wrapText="1"/>
    </xf>
    <xf numFmtId="0" fontId="7" fillId="0" borderId="22" xfId="0" applyFont="1" applyBorder="1" applyAlignment="1">
      <alignment horizontal="center" vertical="center" wrapText="1"/>
    </xf>
    <xf numFmtId="0" fontId="28"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27" fillId="0" borderId="22" xfId="0" applyFont="1" applyBorder="1" applyAlignment="1">
      <alignment horizontal="justify" vertical="center" wrapText="1"/>
    </xf>
    <xf numFmtId="0" fontId="11" fillId="2" borderId="22" xfId="0" applyFont="1" applyFill="1" applyBorder="1" applyAlignment="1">
      <alignment horizontal="justify" vertical="center" wrapText="1"/>
    </xf>
    <xf numFmtId="0" fontId="8" fillId="0" borderId="22" xfId="0" applyFont="1" applyFill="1" applyBorder="1" applyAlignment="1">
      <alignment vertical="center" wrapText="1"/>
    </xf>
    <xf numFmtId="0" fontId="28" fillId="0" borderId="22" xfId="0" applyFont="1" applyBorder="1" applyAlignment="1">
      <alignment horizontal="justify" vertical="center" wrapText="1"/>
    </xf>
    <xf numFmtId="9" fontId="28" fillId="0" borderId="22" xfId="64" applyFont="1" applyBorder="1" applyAlignment="1">
      <alignment horizontal="right" vertical="center" wrapText="1"/>
    </xf>
    <xf numFmtId="0" fontId="35" fillId="0" borderId="22" xfId="0" applyFont="1" applyBorder="1" applyAlignment="1">
      <alignment horizontal="justify" vertical="center" wrapText="1"/>
    </xf>
    <xf numFmtId="0" fontId="90" fillId="0" borderId="22" xfId="0" applyFont="1" applyBorder="1" applyAlignment="1">
      <alignment horizontal="center" vertical="center" wrapText="1"/>
    </xf>
    <xf numFmtId="0" fontId="90" fillId="0" borderId="22" xfId="0" applyFont="1" applyBorder="1" applyAlignment="1">
      <alignment horizontal="justify" vertical="center" wrapText="1"/>
    </xf>
    <xf numFmtId="0" fontId="97" fillId="0" borderId="22" xfId="0" applyFont="1" applyBorder="1" applyAlignment="1">
      <alignment horizontal="justify" vertical="center" wrapText="1"/>
    </xf>
    <xf numFmtId="0" fontId="29" fillId="0" borderId="22" xfId="0" applyFont="1" applyBorder="1" applyAlignment="1">
      <alignment horizontal="center" vertical="center" wrapText="1"/>
    </xf>
    <xf numFmtId="166" fontId="29" fillId="0" borderId="22" xfId="0" applyNumberFormat="1" applyFont="1" applyBorder="1" applyAlignment="1">
      <alignment horizontal="right" vertical="center" wrapText="1"/>
    </xf>
    <xf numFmtId="0" fontId="29" fillId="0" borderId="22" xfId="0" applyFont="1" applyBorder="1" applyAlignment="1">
      <alignment horizontal="justify" vertical="center" wrapText="1"/>
    </xf>
    <xf numFmtId="0" fontId="14" fillId="0" borderId="22" xfId="0" applyFont="1" applyBorder="1" applyAlignment="1">
      <alignment horizontal="justify" vertical="center" wrapText="1"/>
    </xf>
    <xf numFmtId="3" fontId="53" fillId="0" borderId="22" xfId="83" quotePrefix="1" applyNumberFormat="1" applyFont="1" applyFill="1" applyBorder="1" applyAlignment="1">
      <alignment vertical="center" wrapText="1"/>
    </xf>
    <xf numFmtId="0" fontId="8" fillId="0" borderId="22" xfId="0" applyFont="1" applyBorder="1" applyAlignment="1">
      <alignment horizontal="center" vertical="center" wrapText="1"/>
    </xf>
    <xf numFmtId="0" fontId="53" fillId="0" borderId="22" xfId="0" applyFont="1" applyBorder="1" applyAlignment="1">
      <alignment horizontal="justify" vertical="center" wrapText="1"/>
    </xf>
    <xf numFmtId="0" fontId="74" fillId="0" borderId="22" xfId="0" applyFont="1" applyBorder="1" applyAlignment="1">
      <alignment horizontal="center" vertical="center" wrapText="1"/>
    </xf>
    <xf numFmtId="0" fontId="74" fillId="0" borderId="22" xfId="0" applyFont="1" applyBorder="1" applyAlignment="1">
      <alignment horizontal="justify" vertical="center" wrapText="1"/>
    </xf>
    <xf numFmtId="0" fontId="44" fillId="0" borderId="22" xfId="0" applyFont="1" applyBorder="1" applyAlignment="1">
      <alignment vertical="center" wrapText="1"/>
    </xf>
    <xf numFmtId="181" fontId="110" fillId="0" borderId="22" xfId="0" applyNumberFormat="1" applyFont="1" applyFill="1" applyBorder="1" applyAlignment="1">
      <alignment vertical="center" wrapText="1"/>
    </xf>
    <xf numFmtId="167" fontId="44" fillId="0" borderId="22" xfId="10" applyNumberFormat="1" applyFont="1" applyBorder="1" applyAlignment="1">
      <alignment vertical="center"/>
    </xf>
    <xf numFmtId="0" fontId="110" fillId="0" borderId="22" xfId="0" applyNumberFormat="1" applyFont="1" applyFill="1" applyBorder="1" applyAlignment="1">
      <alignment horizontal="left" vertical="center" wrapText="1"/>
    </xf>
    <xf numFmtId="181" fontId="110" fillId="0" borderId="22" xfId="0" applyNumberFormat="1" applyFont="1" applyFill="1" applyBorder="1" applyAlignment="1">
      <alignment horizontal="right" vertical="center" wrapText="1"/>
    </xf>
    <xf numFmtId="166" fontId="100" fillId="0" borderId="22" xfId="0" applyNumberFormat="1" applyFont="1" applyBorder="1" applyAlignment="1">
      <alignment vertical="center"/>
    </xf>
    <xf numFmtId="0" fontId="39" fillId="0" borderId="22" xfId="0" applyNumberFormat="1" applyFont="1" applyFill="1" applyBorder="1" applyAlignment="1">
      <alignment horizontal="left" vertical="center" wrapText="1"/>
    </xf>
    <xf numFmtId="168" fontId="44" fillId="0" borderId="22" xfId="10" applyNumberFormat="1" applyFont="1" applyBorder="1" applyAlignment="1">
      <alignment horizontal="right" vertical="center" wrapText="1"/>
    </xf>
    <xf numFmtId="0" fontId="104" fillId="0" borderId="22" xfId="0" applyFont="1" applyBorder="1" applyAlignment="1">
      <alignment horizontal="center" vertical="center" wrapText="1"/>
    </xf>
    <xf numFmtId="0" fontId="104" fillId="0" borderId="22" xfId="0" applyFont="1" applyBorder="1" applyAlignment="1">
      <alignment horizontal="justify" vertical="center" wrapText="1"/>
    </xf>
    <xf numFmtId="0" fontId="17" fillId="0" borderId="22" xfId="0" applyFont="1" applyBorder="1" applyAlignment="1">
      <alignment horizontal="left" vertical="center" wrapText="1"/>
    </xf>
    <xf numFmtId="182" fontId="17" fillId="0" borderId="22" xfId="10" applyNumberFormat="1" applyFont="1" applyFill="1" applyBorder="1" applyAlignment="1">
      <alignment horizontal="right" vertical="center" wrapText="1"/>
    </xf>
    <xf numFmtId="0" fontId="17" fillId="24" borderId="22" xfId="1" applyFont="1" applyFill="1" applyBorder="1" applyAlignment="1">
      <alignment horizontal="left" vertical="center" wrapText="1"/>
    </xf>
    <xf numFmtId="0" fontId="108" fillId="0" borderId="22" xfId="0" applyFont="1" applyBorder="1" applyAlignment="1">
      <alignment horizontal="justify" vertical="center" wrapText="1"/>
    </xf>
    <xf numFmtId="0" fontId="108" fillId="0" borderId="22" xfId="0" applyFont="1" applyBorder="1" applyAlignment="1">
      <alignment horizontal="center" vertical="center" wrapText="1"/>
    </xf>
    <xf numFmtId="167" fontId="108" fillId="0" borderId="22" xfId="10" applyNumberFormat="1" applyFont="1" applyBorder="1" applyAlignment="1">
      <alignment vertical="center" wrapText="1"/>
    </xf>
    <xf numFmtId="49" fontId="108" fillId="0" borderId="22" xfId="0" quotePrefix="1" applyNumberFormat="1" applyFont="1" applyBorder="1" applyAlignment="1">
      <alignment horizontal="center" vertical="center" wrapText="1"/>
    </xf>
    <xf numFmtId="0" fontId="22" fillId="0" borderId="22" xfId="0" applyFont="1" applyBorder="1"/>
    <xf numFmtId="0" fontId="13" fillId="0" borderId="22" xfId="0" applyFont="1" applyBorder="1" applyAlignment="1">
      <alignment horizontal="justify" vertical="center" wrapText="1"/>
    </xf>
    <xf numFmtId="167" fontId="13" fillId="0" borderId="22" xfId="10" applyNumberFormat="1" applyFont="1" applyBorder="1" applyAlignment="1">
      <alignment vertical="center" wrapText="1"/>
    </xf>
    <xf numFmtId="49" fontId="13" fillId="0" borderId="22" xfId="0" quotePrefix="1" applyNumberFormat="1" applyFont="1" applyBorder="1" applyAlignment="1">
      <alignment horizontal="center" vertical="center" wrapText="1"/>
    </xf>
    <xf numFmtId="0" fontId="89" fillId="0" borderId="22" xfId="0" applyFont="1" applyFill="1" applyBorder="1" applyAlignment="1">
      <alignment vertical="center" wrapText="1"/>
    </xf>
    <xf numFmtId="167" fontId="5" fillId="0" borderId="22" xfId="10" applyNumberFormat="1" applyFont="1" applyBorder="1" applyAlignment="1">
      <alignment vertical="center" wrapText="1"/>
    </xf>
    <xf numFmtId="0" fontId="33" fillId="0" borderId="22" xfId="0" applyFont="1" applyBorder="1" applyAlignment="1">
      <alignment horizontal="center" vertical="center" wrapText="1"/>
    </xf>
    <xf numFmtId="9" fontId="29" fillId="0" borderId="1" xfId="64" applyFont="1" applyBorder="1" applyAlignment="1">
      <alignment horizontal="right" vertical="center" wrapText="1"/>
    </xf>
    <xf numFmtId="0" fontId="104" fillId="0" borderId="9" xfId="0" applyFont="1" applyBorder="1" applyAlignment="1">
      <alignment horizontal="center" vertical="center" wrapText="1"/>
    </xf>
    <xf numFmtId="166" fontId="104" fillId="0" borderId="9" xfId="0" applyNumberFormat="1" applyFont="1" applyBorder="1" applyAlignment="1">
      <alignment horizontal="right" vertical="center" wrapText="1"/>
    </xf>
    <xf numFmtId="166" fontId="104" fillId="0" borderId="9" xfId="0" applyNumberFormat="1" applyFont="1" applyFill="1" applyBorder="1" applyAlignment="1">
      <alignment horizontal="right" vertical="center" wrapText="1"/>
    </xf>
    <xf numFmtId="9" fontId="104" fillId="0" borderId="9" xfId="64" applyFont="1" applyBorder="1" applyAlignment="1">
      <alignment horizontal="right" vertical="center" wrapText="1"/>
    </xf>
    <xf numFmtId="0" fontId="104" fillId="0" borderId="0" xfId="0" applyFont="1"/>
    <xf numFmtId="9" fontId="53" fillId="0" borderId="9" xfId="64" applyFont="1" applyBorder="1" applyAlignment="1">
      <alignment horizontal="right" vertical="center" wrapText="1"/>
    </xf>
    <xf numFmtId="166" fontId="104" fillId="0" borderId="0" xfId="0" applyNumberFormat="1" applyFont="1"/>
    <xf numFmtId="0" fontId="141" fillId="0" borderId="0" xfId="0" applyFont="1" applyFill="1" applyAlignment="1">
      <alignment horizontal="center"/>
    </xf>
    <xf numFmtId="0" fontId="141" fillId="0" borderId="0" xfId="0" applyFont="1" applyFill="1" applyAlignment="1">
      <alignment horizontal="center" vertical="center" wrapText="1"/>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38" fillId="0" borderId="31"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60" fillId="0" borderId="6" xfId="0" applyFont="1" applyBorder="1" applyAlignment="1">
      <alignment horizontal="center" vertical="center" wrapText="1"/>
    </xf>
    <xf numFmtId="0" fontId="60" fillId="0" borderId="6" xfId="0" applyFont="1" applyBorder="1" applyAlignment="1">
      <alignment horizontal="justify" vertical="center" wrapText="1"/>
    </xf>
    <xf numFmtId="166" fontId="60" fillId="2" borderId="6" xfId="0" applyNumberFormat="1" applyFont="1" applyFill="1" applyBorder="1" applyAlignment="1">
      <alignment horizontal="right" vertical="center" wrapText="1"/>
    </xf>
    <xf numFmtId="1" fontId="60" fillId="0" borderId="6" xfId="0" applyNumberFormat="1" applyFont="1" applyBorder="1" applyAlignment="1">
      <alignment horizontal="center" vertical="center" wrapText="1"/>
    </xf>
    <xf numFmtId="166" fontId="53" fillId="2" borderId="8" xfId="0" applyNumberFormat="1" applyFont="1" applyFill="1" applyBorder="1" applyAlignment="1">
      <alignment horizontal="right" vertical="center" wrapText="1"/>
    </xf>
    <xf numFmtId="1" fontId="53" fillId="0" borderId="8" xfId="0" applyNumberFormat="1" applyFont="1" applyBorder="1" applyAlignment="1">
      <alignment horizontal="center" vertical="center" wrapText="1"/>
    </xf>
    <xf numFmtId="9" fontId="131" fillId="0" borderId="22" xfId="64" applyFont="1" applyBorder="1" applyAlignment="1">
      <alignment horizontal="center" vertical="center" wrapText="1"/>
    </xf>
    <xf numFmtId="0" fontId="38" fillId="0" borderId="42" xfId="0" applyFont="1" applyFill="1" applyBorder="1" applyAlignment="1">
      <alignment horizontal="center" vertical="center" wrapText="1"/>
    </xf>
    <xf numFmtId="0" fontId="43" fillId="0" borderId="22" xfId="0" applyFont="1" applyFill="1" applyBorder="1" applyAlignment="1">
      <alignment horizontal="center" vertical="center"/>
    </xf>
    <xf numFmtId="0" fontId="53" fillId="0" borderId="0" xfId="0" applyNumberFormat="1" applyFont="1" applyFill="1" applyBorder="1" applyAlignment="1" applyProtection="1">
      <alignment horizontal="center" vertical="top"/>
    </xf>
    <xf numFmtId="0" fontId="12" fillId="0" borderId="0" xfId="0" applyFont="1" applyFill="1" applyBorder="1" applyAlignment="1">
      <alignment horizontal="center" vertical="top"/>
    </xf>
    <xf numFmtId="0" fontId="53" fillId="0" borderId="0" xfId="0" applyNumberFormat="1" applyFont="1" applyFill="1" applyBorder="1" applyAlignment="1" applyProtection="1">
      <alignment horizontal="center" vertical="center"/>
    </xf>
    <xf numFmtId="0" fontId="12" fillId="0" borderId="0" xfId="0" applyFont="1" applyFill="1" applyBorder="1" applyAlignment="1">
      <alignment horizontal="center" vertical="center"/>
    </xf>
    <xf numFmtId="0" fontId="53" fillId="0" borderId="0" xfId="0" applyNumberFormat="1" applyFont="1" applyFill="1" applyBorder="1" applyAlignment="1" applyProtection="1">
      <alignment horizontal="right" vertical="top"/>
    </xf>
    <xf numFmtId="0" fontId="12" fillId="0" borderId="0" xfId="0" applyFont="1" applyFill="1" applyBorder="1" applyAlignment="1">
      <alignment horizontal="right" vertical="top"/>
    </xf>
    <xf numFmtId="0" fontId="56" fillId="0" borderId="22" xfId="0" applyFont="1" applyBorder="1"/>
    <xf numFmtId="0" fontId="56" fillId="0" borderId="22" xfId="0" applyFont="1" applyBorder="1" applyAlignment="1">
      <alignment vertical="center" wrapText="1"/>
    </xf>
    <xf numFmtId="0" fontId="56" fillId="0" borderId="22" xfId="0" applyFont="1" applyBorder="1" applyAlignment="1">
      <alignment vertical="center"/>
    </xf>
    <xf numFmtId="0" fontId="56" fillId="0" borderId="0" xfId="0" applyFont="1" applyAlignment="1">
      <alignment vertical="center"/>
    </xf>
    <xf numFmtId="0" fontId="56" fillId="0" borderId="22" xfId="0" applyFont="1" applyBorder="1" applyAlignment="1">
      <alignment horizontal="center" vertical="center"/>
    </xf>
    <xf numFmtId="0" fontId="56" fillId="0" borderId="22" xfId="0" applyFont="1" applyBorder="1" applyAlignment="1">
      <alignment horizontal="right"/>
    </xf>
    <xf numFmtId="0" fontId="56" fillId="0" borderId="22" xfId="0" applyFont="1" applyBorder="1" applyAlignment="1">
      <alignment horizontal="right" vertical="center"/>
    </xf>
    <xf numFmtId="0" fontId="57" fillId="0" borderId="22" xfId="0" applyFont="1" applyFill="1" applyBorder="1" applyAlignment="1">
      <alignment horizontal="center" vertical="center"/>
    </xf>
    <xf numFmtId="0" fontId="56" fillId="0" borderId="30" xfId="0" applyFont="1" applyFill="1" applyBorder="1" applyAlignment="1">
      <alignment horizontal="center" vertical="center" wrapText="1"/>
    </xf>
    <xf numFmtId="0" fontId="57" fillId="0" borderId="25" xfId="0" applyFont="1" applyFill="1" applyBorder="1" applyAlignment="1">
      <alignment horizontal="right" vertical="center" wrapText="1"/>
    </xf>
    <xf numFmtId="174" fontId="56" fillId="0" borderId="25" xfId="0" applyNumberFormat="1" applyFont="1" applyFill="1" applyBorder="1" applyAlignment="1">
      <alignment horizontal="right" vertical="center" wrapText="1"/>
    </xf>
    <xf numFmtId="0" fontId="57" fillId="0" borderId="22" xfId="0" applyFont="1" applyFill="1" applyBorder="1" applyAlignment="1">
      <alignment horizontal="left" vertical="center"/>
    </xf>
    <xf numFmtId="0" fontId="57" fillId="0" borderId="30" xfId="0" applyFont="1" applyFill="1" applyBorder="1" applyAlignment="1">
      <alignment horizontal="left" vertical="center" wrapText="1"/>
    </xf>
    <xf numFmtId="0" fontId="57" fillId="0" borderId="30" xfId="0" quotePrefix="1" applyFont="1" applyFill="1" applyBorder="1" applyAlignment="1">
      <alignment horizontal="center" vertical="center" wrapText="1"/>
    </xf>
    <xf numFmtId="0" fontId="56" fillId="0" borderId="25" xfId="0" applyFont="1" applyFill="1" applyBorder="1" applyAlignment="1">
      <alignment horizontal="right" vertical="center" wrapText="1"/>
    </xf>
    <xf numFmtId="174" fontId="56" fillId="0" borderId="25" xfId="10" applyNumberFormat="1" applyFont="1" applyFill="1" applyBorder="1" applyAlignment="1">
      <alignment horizontal="right" wrapText="1"/>
    </xf>
    <xf numFmtId="0" fontId="57" fillId="0" borderId="30" xfId="0" applyFont="1" applyFill="1" applyBorder="1" applyAlignment="1">
      <alignment horizontal="center" vertical="center" wrapText="1"/>
    </xf>
    <xf numFmtId="0" fontId="56" fillId="0" borderId="25" xfId="0" applyFont="1" applyFill="1" applyBorder="1" applyAlignment="1">
      <alignment horizontal="left" vertical="center" wrapText="1"/>
    </xf>
    <xf numFmtId="0" fontId="57" fillId="0" borderId="0" xfId="0" applyFont="1" applyFill="1" applyBorder="1" applyAlignment="1">
      <alignment horizontal="left" vertical="center"/>
    </xf>
    <xf numFmtId="174" fontId="162" fillId="0" borderId="25" xfId="10" applyNumberFormat="1" applyFont="1" applyFill="1" applyBorder="1" applyAlignment="1">
      <alignment horizontal="right" shrinkToFit="1"/>
    </xf>
    <xf numFmtId="0" fontId="56" fillId="0" borderId="31" xfId="0" applyFont="1" applyFill="1" applyBorder="1" applyAlignment="1">
      <alignment horizontal="right" vertical="center" wrapText="1"/>
    </xf>
    <xf numFmtId="174" fontId="56" fillId="0" borderId="31" xfId="10" applyNumberFormat="1" applyFont="1" applyFill="1" applyBorder="1" applyAlignment="1">
      <alignment horizontal="right" wrapText="1"/>
    </xf>
    <xf numFmtId="0" fontId="56" fillId="0" borderId="22" xfId="0" applyFont="1" applyFill="1" applyBorder="1" applyAlignment="1">
      <alignment horizontal="right" vertical="center" wrapText="1"/>
    </xf>
    <xf numFmtId="174" fontId="56" fillId="0" borderId="22" xfId="10" applyNumberFormat="1" applyFont="1" applyFill="1" applyBorder="1" applyAlignment="1">
      <alignment horizontal="right" wrapText="1"/>
    </xf>
    <xf numFmtId="0" fontId="57" fillId="0" borderId="44" xfId="0" quotePrefix="1" applyFont="1" applyFill="1" applyBorder="1" applyAlignment="1">
      <alignment horizontal="center" vertical="center" wrapText="1"/>
    </xf>
    <xf numFmtId="0" fontId="56" fillId="0" borderId="43" xfId="0" applyFont="1" applyFill="1" applyBorder="1" applyAlignment="1">
      <alignment horizontal="left" vertical="center" wrapText="1"/>
    </xf>
    <xf numFmtId="0" fontId="56" fillId="0" borderId="43" xfId="0" applyFont="1" applyFill="1" applyBorder="1" applyAlignment="1">
      <alignment horizontal="right" vertical="center" wrapText="1"/>
    </xf>
    <xf numFmtId="174" fontId="56" fillId="0" borderId="43" xfId="10" applyNumberFormat="1" applyFont="1" applyFill="1" applyBorder="1" applyAlignment="1">
      <alignment horizontal="right" wrapText="1"/>
    </xf>
    <xf numFmtId="0" fontId="57" fillId="0" borderId="23" xfId="0" applyFont="1" applyFill="1" applyBorder="1" applyAlignment="1">
      <alignment horizontal="left" vertical="center"/>
    </xf>
    <xf numFmtId="0" fontId="57" fillId="0" borderId="42" xfId="0" applyFont="1" applyFill="1" applyBorder="1" applyAlignment="1">
      <alignment horizontal="left" vertical="center" wrapText="1"/>
    </xf>
    <xf numFmtId="0" fontId="57" fillId="0" borderId="42" xfId="0" applyFont="1" applyFill="1" applyBorder="1" applyAlignment="1">
      <alignment horizontal="center" vertical="center" wrapText="1"/>
    </xf>
    <xf numFmtId="0" fontId="57" fillId="0" borderId="22" xfId="0" applyFont="1" applyFill="1" applyBorder="1" applyAlignment="1">
      <alignment horizontal="left" vertical="top"/>
    </xf>
    <xf numFmtId="0" fontId="57" fillId="0" borderId="22" xfId="0" applyFont="1" applyFill="1" applyBorder="1" applyAlignment="1">
      <alignment horizontal="center" vertical="top"/>
    </xf>
    <xf numFmtId="0" fontId="57" fillId="0" borderId="22" xfId="0" applyFont="1" applyFill="1" applyBorder="1" applyAlignment="1">
      <alignment horizontal="right" vertical="top"/>
    </xf>
    <xf numFmtId="3" fontId="162" fillId="0" borderId="30" xfId="0" applyNumberFormat="1" applyFont="1" applyFill="1" applyBorder="1" applyAlignment="1">
      <alignment horizontal="right" shrinkToFit="1"/>
    </xf>
    <xf numFmtId="0" fontId="56" fillId="0" borderId="22" xfId="0" applyFont="1" applyBorder="1" applyAlignment="1">
      <alignment horizontal="left"/>
    </xf>
    <xf numFmtId="0" fontId="57" fillId="0" borderId="22" xfId="0" quotePrefix="1" applyFont="1" applyFill="1" applyBorder="1" applyAlignment="1">
      <alignment horizontal="center" vertical="center"/>
    </xf>
    <xf numFmtId="0" fontId="57" fillId="0" borderId="22" xfId="0" quotePrefix="1" applyFont="1" applyFill="1" applyBorder="1" applyAlignment="1">
      <alignment horizontal="center" vertical="top"/>
    </xf>
    <xf numFmtId="174" fontId="56" fillId="0" borderId="29" xfId="10" applyNumberFormat="1" applyFont="1" applyFill="1" applyBorder="1" applyAlignment="1">
      <alignment horizontal="right" wrapText="1"/>
    </xf>
    <xf numFmtId="0" fontId="57" fillId="0" borderId="0" xfId="0" applyFont="1" applyFill="1" applyBorder="1" applyAlignment="1">
      <alignment horizontal="center" vertical="top"/>
    </xf>
    <xf numFmtId="0" fontId="57" fillId="0" borderId="0" xfId="0" applyFont="1" applyFill="1" applyBorder="1" applyAlignment="1">
      <alignment horizontal="right" vertical="top"/>
    </xf>
    <xf numFmtId="174" fontId="56" fillId="0" borderId="30" xfId="10" applyNumberFormat="1" applyFont="1" applyFill="1" applyBorder="1" applyAlignment="1">
      <alignment horizontal="right" wrapText="1"/>
    </xf>
    <xf numFmtId="0" fontId="57" fillId="0" borderId="22" xfId="0" quotePrefix="1" applyFont="1" applyFill="1" applyBorder="1" applyAlignment="1">
      <alignment horizontal="right" vertical="top"/>
    </xf>
    <xf numFmtId="0" fontId="74" fillId="0" borderId="0" xfId="0" applyFont="1" applyAlignment="1">
      <alignment vertical="center"/>
    </xf>
    <xf numFmtId="9" fontId="38" fillId="0" borderId="9" xfId="64" applyFont="1" applyFill="1" applyBorder="1" applyAlignment="1">
      <alignment horizontal="right" vertical="center" wrapText="1"/>
    </xf>
    <xf numFmtId="9" fontId="38" fillId="0" borderId="22" xfId="64" applyFont="1" applyFill="1" applyBorder="1" applyAlignment="1">
      <alignment horizontal="right" vertical="center" wrapText="1"/>
    </xf>
    <xf numFmtId="184" fontId="53" fillId="0" borderId="0" xfId="0" applyNumberFormat="1" applyFont="1" applyFill="1"/>
    <xf numFmtId="174" fontId="7" fillId="0" borderId="22" xfId="10" applyNumberFormat="1" applyFont="1" applyBorder="1" applyAlignment="1">
      <alignment horizontal="center" vertical="center" wrapText="1"/>
    </xf>
    <xf numFmtId="3" fontId="39" fillId="2" borderId="9" xfId="0" applyNumberFormat="1" applyFont="1" applyFill="1" applyBorder="1" applyAlignment="1">
      <alignment horizontal="right" vertical="center" wrapText="1"/>
    </xf>
    <xf numFmtId="172" fontId="53" fillId="0" borderId="9" xfId="9" applyNumberFormat="1" applyFont="1" applyFill="1" applyBorder="1" applyAlignment="1">
      <alignment horizontal="right" vertical="center" wrapText="1"/>
    </xf>
    <xf numFmtId="0" fontId="60" fillId="0" borderId="0" xfId="0" applyFont="1" applyAlignment="1">
      <alignment horizontal="left"/>
    </xf>
    <xf numFmtId="0" fontId="60" fillId="0" borderId="0" xfId="0" applyFont="1" applyFill="1" applyAlignment="1">
      <alignment horizontal="left"/>
    </xf>
    <xf numFmtId="0" fontId="133" fillId="0" borderId="0" xfId="0" applyFont="1" applyAlignment="1">
      <alignment horizontal="center"/>
    </xf>
    <xf numFmtId="0" fontId="62" fillId="0" borderId="22" xfId="0" applyFont="1" applyBorder="1" applyAlignment="1">
      <alignment horizontal="center" vertical="center" wrapText="1"/>
    </xf>
    <xf numFmtId="0" fontId="63" fillId="2" borderId="22" xfId="0"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63" fillId="0" borderId="22"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0" fontId="7" fillId="0" borderId="0" xfId="0" applyFont="1" applyFill="1" applyAlignment="1"/>
    <xf numFmtId="3" fontId="134" fillId="0" borderId="0" xfId="0" applyNumberFormat="1" applyFont="1" applyBorder="1" applyAlignment="1">
      <alignment vertical="center" wrapText="1"/>
    </xf>
    <xf numFmtId="192" fontId="134" fillId="0" borderId="0" xfId="64" applyNumberFormat="1" applyFont="1" applyBorder="1" applyAlignment="1">
      <alignment vertical="center" wrapText="1"/>
    </xf>
    <xf numFmtId="0" fontId="139" fillId="0" borderId="0" xfId="0" applyFont="1" applyFill="1"/>
    <xf numFmtId="3" fontId="133" fillId="0" borderId="0" xfId="0" applyNumberFormat="1" applyFont="1" applyBorder="1" applyAlignment="1">
      <alignment vertical="center" wrapText="1"/>
    </xf>
    <xf numFmtId="0" fontId="140" fillId="0" borderId="0" xfId="0" applyFont="1"/>
    <xf numFmtId="0" fontId="141" fillId="0" borderId="0" xfId="0" applyFont="1" applyAlignment="1"/>
    <xf numFmtId="0" fontId="140" fillId="0" borderId="0" xfId="0" applyFont="1" applyAlignment="1">
      <alignment horizontal="center"/>
    </xf>
    <xf numFmtId="0" fontId="141" fillId="2" borderId="0" xfId="0" applyFont="1" applyFill="1" applyAlignment="1">
      <alignment horizontal="center"/>
    </xf>
    <xf numFmtId="0" fontId="140" fillId="2" borderId="0" xfId="0" applyFont="1" applyFill="1"/>
    <xf numFmtId="0" fontId="74" fillId="0" borderId="0" xfId="0" applyFont="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94" fillId="0" borderId="0" xfId="0" applyFont="1" applyAlignment="1">
      <alignment horizontal="center" vertical="center" wrapText="1"/>
    </xf>
    <xf numFmtId="0" fontId="74" fillId="0" borderId="0" xfId="0" applyFont="1" applyAlignment="1">
      <alignment horizontal="center" vertical="center" wrapText="1"/>
    </xf>
    <xf numFmtId="0" fontId="22" fillId="0" borderId="0" xfId="0" applyFont="1" applyAlignment="1">
      <alignment horizontal="left"/>
    </xf>
    <xf numFmtId="0" fontId="28" fillId="0" borderId="0" xfId="0" applyFont="1" applyAlignment="1">
      <alignment horizontal="center" vertical="center" wrapText="1"/>
    </xf>
    <xf numFmtId="0" fontId="32" fillId="0" borderId="1"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8"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64" fillId="0" borderId="0" xfId="0" applyFont="1" applyAlignment="1">
      <alignment horizontal="center" vertical="center" wrapText="1"/>
    </xf>
    <xf numFmtId="0" fontId="100" fillId="0" borderId="0" xfId="0" applyFont="1" applyAlignment="1">
      <alignment horizontal="right"/>
    </xf>
    <xf numFmtId="0" fontId="100" fillId="0" borderId="15" xfId="0" applyFont="1" applyBorder="1" applyAlignment="1">
      <alignment horizontal="right"/>
    </xf>
    <xf numFmtId="0" fontId="8" fillId="0" borderId="0" xfId="0" applyFont="1" applyAlignment="1">
      <alignment horizontal="center" vertical="center" wrapText="1"/>
    </xf>
    <xf numFmtId="0" fontId="8" fillId="0" borderId="15" xfId="0" applyFont="1" applyBorder="1" applyAlignment="1">
      <alignment horizontal="right" vertical="center"/>
    </xf>
    <xf numFmtId="166" fontId="74" fillId="0" borderId="0" xfId="0" applyNumberFormat="1" applyFont="1" applyFill="1" applyAlignment="1">
      <alignment horizontal="right"/>
    </xf>
    <xf numFmtId="0" fontId="9" fillId="0" borderId="0" xfId="0" applyFont="1" applyAlignment="1">
      <alignment horizontal="center" vertical="center" wrapText="1"/>
    </xf>
    <xf numFmtId="0" fontId="28" fillId="0" borderId="1" xfId="0" applyFont="1" applyBorder="1" applyAlignment="1">
      <alignment horizontal="center" vertical="center" wrapText="1"/>
    </xf>
    <xf numFmtId="0" fontId="116" fillId="0" borderId="1" xfId="0" applyFont="1" applyBorder="1" applyAlignment="1">
      <alignment horizontal="center" vertical="center" wrapText="1"/>
    </xf>
    <xf numFmtId="0" fontId="11" fillId="0" borderId="15" xfId="0" applyFont="1" applyBorder="1" applyAlignment="1">
      <alignment horizontal="right"/>
    </xf>
    <xf numFmtId="0" fontId="60" fillId="0" borderId="0" xfId="0" applyFont="1" applyAlignment="1">
      <alignment horizontal="left"/>
    </xf>
    <xf numFmtId="0" fontId="91" fillId="0" borderId="0" xfId="0" applyFont="1" applyAlignment="1">
      <alignment horizontal="center" vertical="center" wrapText="1"/>
    </xf>
    <xf numFmtId="172" fontId="74" fillId="0" borderId="0" xfId="9" applyNumberFormat="1" applyFont="1" applyFill="1" applyAlignment="1">
      <alignment horizontal="right"/>
    </xf>
    <xf numFmtId="0" fontId="11" fillId="2" borderId="0" xfId="0" applyFont="1" applyFill="1" applyAlignment="1">
      <alignment horizontal="right" vertical="center"/>
    </xf>
    <xf numFmtId="0" fontId="8" fillId="2" borderId="15" xfId="0" applyFont="1" applyFill="1" applyBorder="1" applyAlignment="1">
      <alignment horizontal="right" vertical="center"/>
    </xf>
    <xf numFmtId="0" fontId="63" fillId="2"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92" fillId="2" borderId="0" xfId="0" applyFont="1" applyFill="1" applyAlignment="1">
      <alignment horizontal="center" vertical="center" wrapText="1"/>
    </xf>
    <xf numFmtId="0" fontId="22" fillId="2" borderId="0" xfId="0" applyFont="1" applyFill="1" applyAlignment="1">
      <alignment horizontal="left"/>
    </xf>
    <xf numFmtId="0" fontId="38" fillId="2" borderId="1" xfId="0" applyFont="1" applyFill="1" applyBorder="1" applyAlignment="1">
      <alignment horizontal="center" vertical="center" wrapText="1"/>
    </xf>
    <xf numFmtId="0" fontId="38" fillId="2" borderId="12"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38" fillId="2" borderId="14" xfId="0" applyFont="1" applyFill="1" applyBorder="1" applyAlignment="1">
      <alignment horizontal="center" vertical="center" wrapText="1"/>
    </xf>
    <xf numFmtId="0" fontId="59" fillId="0" borderId="22" xfId="0" applyFont="1" applyBorder="1" applyAlignment="1">
      <alignment horizontal="center" vertical="center" wrapText="1"/>
    </xf>
    <xf numFmtId="0" fontId="72" fillId="0" borderId="22" xfId="0" applyFont="1" applyBorder="1" applyAlignment="1">
      <alignment horizontal="center" vertical="center" wrapText="1"/>
    </xf>
    <xf numFmtId="0" fontId="50" fillId="0" borderId="0" xfId="0" applyFont="1" applyAlignment="1">
      <alignment horizontal="left"/>
    </xf>
    <xf numFmtId="0" fontId="91" fillId="0" borderId="0" xfId="0" applyFont="1" applyAlignment="1">
      <alignment horizontal="center" vertical="center"/>
    </xf>
    <xf numFmtId="0" fontId="28" fillId="0" borderId="0" xfId="0" applyFont="1" applyAlignment="1">
      <alignment horizontal="center" vertical="center"/>
    </xf>
    <xf numFmtId="0" fontId="38" fillId="0" borderId="1" xfId="0" applyFont="1" applyFill="1" applyBorder="1" applyAlignment="1">
      <alignment horizontal="center" vertical="center" wrapText="1"/>
    </xf>
    <xf numFmtId="0" fontId="74" fillId="2" borderId="0" xfId="0" applyFont="1" applyFill="1" applyAlignment="1">
      <alignment horizontal="right"/>
    </xf>
    <xf numFmtId="0" fontId="94" fillId="0" borderId="0" xfId="0" applyFont="1" applyFill="1" applyAlignment="1">
      <alignment horizontal="center" vertical="center"/>
    </xf>
    <xf numFmtId="0" fontId="60" fillId="0" borderId="0" xfId="0" applyFont="1" applyFill="1" applyAlignment="1">
      <alignment horizontal="left"/>
    </xf>
    <xf numFmtId="3" fontId="38" fillId="0" borderId="1" xfId="0" applyNumberFormat="1" applyFont="1" applyFill="1" applyBorder="1" applyAlignment="1">
      <alignment horizontal="center" vertical="center" wrapText="1"/>
    </xf>
    <xf numFmtId="166" fontId="63"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38" fillId="0" borderId="2" xfId="0" applyFont="1" applyFill="1" applyBorder="1" applyAlignment="1">
      <alignment horizontal="center" vertical="center" wrapText="1"/>
    </xf>
    <xf numFmtId="0" fontId="38" fillId="0" borderId="4" xfId="0" applyFont="1" applyFill="1" applyBorder="1" applyAlignment="1">
      <alignment horizontal="center" vertical="center" wrapText="1"/>
    </xf>
    <xf numFmtId="0" fontId="94" fillId="2" borderId="0" xfId="0" applyFont="1" applyFill="1" applyAlignment="1">
      <alignment horizontal="center" vertical="center" wrapText="1"/>
    </xf>
    <xf numFmtId="0" fontId="74" fillId="0" borderId="0" xfId="0" applyFont="1" applyFill="1" applyAlignment="1">
      <alignment horizontal="right" vertical="center"/>
    </xf>
    <xf numFmtId="0" fontId="38" fillId="0" borderId="3"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38" fillId="0" borderId="22" xfId="0" applyFont="1" applyFill="1" applyBorder="1" applyAlignment="1">
      <alignment horizontal="center" vertical="center" wrapText="1"/>
    </xf>
    <xf numFmtId="0" fontId="94" fillId="0" borderId="0" xfId="0" applyFont="1" applyFill="1" applyAlignment="1">
      <alignment horizontal="center" vertical="center" wrapText="1"/>
    </xf>
    <xf numFmtId="0" fontId="129" fillId="0" borderId="1" xfId="0" applyFont="1" applyFill="1" applyBorder="1" applyAlignment="1">
      <alignment horizontal="center" vertical="center" wrapText="1"/>
    </xf>
    <xf numFmtId="0" fontId="92" fillId="0" borderId="0" xfId="0" applyFont="1" applyFill="1" applyAlignment="1">
      <alignment horizontal="center" vertical="center" wrapText="1"/>
    </xf>
    <xf numFmtId="0" fontId="11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00" fillId="0" borderId="0" xfId="0" applyFont="1" applyAlignment="1">
      <alignment horizontal="right" vertical="center"/>
    </xf>
    <xf numFmtId="0" fontId="127"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8" fillId="0" borderId="15" xfId="0" applyFont="1" applyFill="1" applyBorder="1" applyAlignment="1">
      <alignment horizontal="right" vertical="center"/>
    </xf>
    <xf numFmtId="0" fontId="62" fillId="0" borderId="1" xfId="0" applyFont="1" applyFill="1" applyBorder="1" applyAlignment="1">
      <alignment horizontal="center" vertical="center" wrapText="1"/>
    </xf>
    <xf numFmtId="175" fontId="7" fillId="0" borderId="1" xfId="9" applyNumberFormat="1"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89" fillId="0" borderId="0" xfId="0" applyFont="1" applyFill="1" applyAlignment="1">
      <alignment horizontal="center"/>
    </xf>
    <xf numFmtId="0" fontId="89" fillId="0" borderId="0" xfId="0" applyFont="1" applyFill="1" applyBorder="1" applyAlignment="1">
      <alignment horizontal="right" vertical="center"/>
    </xf>
    <xf numFmtId="0" fontId="9" fillId="0" borderId="1" xfId="0" applyFont="1" applyFill="1" applyBorder="1" applyAlignment="1">
      <alignment horizontal="center" vertical="center" wrapText="1"/>
    </xf>
    <xf numFmtId="172" fontId="9" fillId="0" borderId="1" xfId="9"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66" fontId="9" fillId="0" borderId="2" xfId="0" applyNumberFormat="1" applyFont="1" applyFill="1" applyBorder="1" applyAlignment="1">
      <alignment horizontal="center" vertical="center" wrapText="1"/>
    </xf>
    <xf numFmtId="166" fontId="9" fillId="0" borderId="4"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11" fillId="0" borderId="0" xfId="0" applyFont="1" applyFill="1" applyAlignment="1">
      <alignment horizontal="center" vertical="center" wrapText="1"/>
    </xf>
    <xf numFmtId="0" fontId="127" fillId="0" borderId="0" xfId="0" applyFont="1" applyAlignment="1">
      <alignment horizontal="center"/>
    </xf>
    <xf numFmtId="0" fontId="7" fillId="0" borderId="0" xfId="0" applyFont="1" applyAlignment="1">
      <alignment horizontal="center" vertical="center"/>
    </xf>
    <xf numFmtId="4" fontId="7" fillId="0" borderId="1" xfId="0" applyNumberFormat="1" applyFont="1" applyBorder="1" applyAlignment="1">
      <alignment horizontal="left" vertical="center" wrapText="1"/>
    </xf>
    <xf numFmtId="0" fontId="94" fillId="0" borderId="0" xfId="0" applyFont="1" applyAlignment="1">
      <alignment horizontal="center" vertical="center"/>
    </xf>
    <xf numFmtId="0" fontId="11"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32" fillId="0" borderId="22" xfId="0" applyFont="1" applyBorder="1" applyAlignment="1">
      <alignment horizontal="center" vertical="center" wrapText="1"/>
    </xf>
    <xf numFmtId="172" fontId="32" fillId="0" borderId="12" xfId="9" applyNumberFormat="1" applyFont="1" applyBorder="1" applyAlignment="1">
      <alignment horizontal="center" vertical="center" wrapText="1"/>
    </xf>
    <xf numFmtId="172" fontId="32" fillId="0" borderId="34" xfId="9" applyNumberFormat="1" applyFont="1" applyBorder="1" applyAlignment="1">
      <alignment horizontal="center" vertical="center" wrapText="1"/>
    </xf>
    <xf numFmtId="172" fontId="32" fillId="0" borderId="13" xfId="9" applyNumberFormat="1" applyFont="1" applyBorder="1" applyAlignment="1">
      <alignment horizontal="center" vertical="center" wrapText="1"/>
    </xf>
    <xf numFmtId="172" fontId="32" fillId="0" borderId="14" xfId="9" applyNumberFormat="1" applyFont="1" applyBorder="1" applyAlignment="1">
      <alignment horizontal="center" vertical="center" wrapText="1"/>
    </xf>
    <xf numFmtId="0" fontId="11" fillId="0" borderId="15" xfId="0" applyFont="1" applyBorder="1" applyAlignment="1">
      <alignment horizontal="right" vertical="center"/>
    </xf>
    <xf numFmtId="0" fontId="45" fillId="0" borderId="0" xfId="0" applyFont="1" applyAlignment="1">
      <alignment horizontal="center" vertical="center" wrapText="1"/>
    </xf>
    <xf numFmtId="172" fontId="32" fillId="0" borderId="39" xfId="9" applyNumberFormat="1" applyFont="1" applyBorder="1" applyAlignment="1">
      <alignment horizontal="center" vertical="center" wrapText="1"/>
    </xf>
    <xf numFmtId="172" fontId="32" fillId="0" borderId="40" xfId="9" applyNumberFormat="1" applyFont="1" applyBorder="1" applyAlignment="1">
      <alignment horizontal="center" vertical="center" wrapText="1"/>
    </xf>
    <xf numFmtId="172" fontId="32" fillId="0" borderId="22" xfId="9" applyNumberFormat="1" applyFont="1" applyBorder="1" applyAlignment="1">
      <alignment horizontal="center" vertical="center" wrapText="1"/>
    </xf>
    <xf numFmtId="0" fontId="40" fillId="0" borderId="0" xfId="0" applyFont="1" applyAlignment="1">
      <alignment horizontal="right" vertical="center"/>
    </xf>
    <xf numFmtId="0" fontId="46" fillId="0" borderId="0" xfId="0" applyFont="1" applyAlignment="1">
      <alignment horizontal="center"/>
    </xf>
    <xf numFmtId="0" fontId="68" fillId="0" borderId="0" xfId="0" applyFont="1" applyAlignment="1">
      <alignment horizontal="center"/>
    </xf>
    <xf numFmtId="0" fontId="8" fillId="0" borderId="0" xfId="0" applyFont="1" applyAlignment="1">
      <alignment horizontal="center" vertical="center"/>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8" xfId="0" applyFont="1" applyBorder="1" applyAlignment="1">
      <alignment horizontal="center" vertical="center" wrapText="1"/>
    </xf>
    <xf numFmtId="0" fontId="6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7" fillId="0" borderId="0" xfId="0" applyFont="1" applyAlignment="1">
      <alignment horizontal="center"/>
    </xf>
    <xf numFmtId="0" fontId="137" fillId="0" borderId="38" xfId="0" applyFont="1" applyFill="1" applyBorder="1" applyAlignment="1">
      <alignment horizontal="right" vertical="center" wrapText="1"/>
    </xf>
    <xf numFmtId="0" fontId="95" fillId="0" borderId="29" xfId="0" applyFont="1" applyFill="1" applyBorder="1" applyAlignment="1">
      <alignment horizontal="left" vertical="center" wrapText="1"/>
    </xf>
    <xf numFmtId="0" fontId="95" fillId="0" borderId="30" xfId="0" applyFont="1" applyFill="1" applyBorder="1" applyAlignment="1">
      <alignment horizontal="left" vertical="center" wrapText="1"/>
    </xf>
    <xf numFmtId="0" fontId="60" fillId="0" borderId="0" xfId="0" applyFont="1" applyAlignment="1">
      <alignment horizontal="center"/>
    </xf>
    <xf numFmtId="0" fontId="74" fillId="0" borderId="0" xfId="0" applyFont="1" applyAlignment="1">
      <alignment horizontal="center" vertical="center"/>
    </xf>
    <xf numFmtId="0" fontId="95" fillId="0" borderId="29" xfId="0" applyFont="1" applyFill="1" applyBorder="1" applyAlignment="1">
      <alignment horizontal="center" vertical="center" wrapText="1"/>
    </xf>
    <xf numFmtId="0" fontId="95" fillId="0" borderId="30" xfId="0" applyFont="1" applyFill="1" applyBorder="1" applyAlignment="1">
      <alignment horizontal="center" vertical="center" wrapText="1"/>
    </xf>
    <xf numFmtId="0" fontId="74" fillId="0" borderId="0" xfId="0" applyNumberFormat="1" applyFont="1" applyFill="1" applyBorder="1" applyAlignment="1" applyProtection="1">
      <alignment horizontal="center" vertical="center"/>
    </xf>
    <xf numFmtId="0" fontId="40" fillId="2" borderId="0" xfId="0" applyFont="1" applyFill="1" applyAlignment="1">
      <alignment horizontal="right" vertical="center"/>
    </xf>
    <xf numFmtId="0" fontId="39" fillId="2" borderId="17"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23" xfId="0" quotePrefix="1" applyFont="1" applyFill="1" applyBorder="1" applyAlignment="1">
      <alignment horizontal="center" vertical="center" wrapText="1"/>
    </xf>
    <xf numFmtId="0" fontId="39" fillId="2" borderId="3" xfId="0" quotePrefix="1" applyFont="1" applyFill="1" applyBorder="1" applyAlignment="1">
      <alignment horizontal="center" vertical="center" wrapText="1"/>
    </xf>
    <xf numFmtId="0" fontId="39" fillId="2" borderId="4" xfId="0" quotePrefix="1" applyFont="1" applyFill="1" applyBorder="1" applyAlignment="1">
      <alignment horizontal="center" vertical="center" wrapText="1"/>
    </xf>
    <xf numFmtId="49" fontId="39" fillId="0" borderId="23" xfId="82" quotePrefix="1" applyNumberFormat="1" applyFont="1" applyFill="1" applyBorder="1" applyAlignment="1">
      <alignment horizontal="center" vertical="center"/>
    </xf>
    <xf numFmtId="49" fontId="39" fillId="0" borderId="3" xfId="82" quotePrefix="1" applyNumberFormat="1" applyFont="1" applyFill="1" applyBorder="1" applyAlignment="1">
      <alignment horizontal="center" vertical="center"/>
    </xf>
    <xf numFmtId="49" fontId="39" fillId="0" borderId="4" xfId="82" quotePrefix="1" applyNumberFormat="1" applyFont="1" applyFill="1" applyBorder="1" applyAlignment="1">
      <alignment horizontal="center" vertical="center"/>
    </xf>
    <xf numFmtId="0" fontId="38" fillId="2" borderId="0" xfId="0" applyFont="1" applyFill="1" applyAlignment="1">
      <alignment horizontal="center" vertical="center" wrapText="1"/>
    </xf>
    <xf numFmtId="0" fontId="39" fillId="0" borderId="2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 xfId="0" applyFont="1" applyBorder="1" applyAlignment="1">
      <alignment horizontal="center" vertical="center" wrapText="1"/>
    </xf>
    <xf numFmtId="0" fontId="39" fillId="2" borderId="23"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8" xfId="0" applyFont="1" applyBorder="1" applyAlignment="1">
      <alignment horizontal="center" vertical="center" wrapText="1"/>
    </xf>
    <xf numFmtId="0" fontId="39" fillId="2" borderId="6" xfId="0" applyFont="1" applyFill="1" applyBorder="1" applyAlignment="1">
      <alignment horizontal="center" vertical="center" wrapText="1"/>
    </xf>
    <xf numFmtId="0" fontId="39" fillId="2" borderId="8" xfId="0" applyFont="1" applyFill="1" applyBorder="1" applyAlignment="1">
      <alignment horizontal="center" vertical="center" wrapText="1"/>
    </xf>
    <xf numFmtId="49" fontId="39" fillId="0" borderId="6" xfId="82" quotePrefix="1" applyNumberFormat="1" applyFont="1" applyFill="1" applyBorder="1" applyAlignment="1">
      <alignment horizontal="center" vertical="center"/>
    </xf>
    <xf numFmtId="49" fontId="39" fillId="0" borderId="8" xfId="82" quotePrefix="1" applyNumberFormat="1" applyFont="1" applyFill="1" applyBorder="1" applyAlignment="1">
      <alignment horizontal="center" vertical="center"/>
    </xf>
    <xf numFmtId="0" fontId="39" fillId="2" borderId="6" xfId="0" quotePrefix="1" applyFont="1" applyFill="1" applyBorder="1" applyAlignment="1">
      <alignment horizontal="center" vertical="center" wrapText="1"/>
    </xf>
    <xf numFmtId="0" fontId="39" fillId="2" borderId="8" xfId="0" quotePrefix="1" applyFont="1" applyFill="1" applyBorder="1" applyAlignment="1">
      <alignment horizontal="center" vertical="center" wrapText="1"/>
    </xf>
    <xf numFmtId="0" fontId="40" fillId="2" borderId="0" xfId="0" applyFont="1" applyFill="1" applyAlignment="1">
      <alignment horizontal="center" vertical="center" wrapText="1"/>
    </xf>
    <xf numFmtId="0" fontId="39" fillId="2" borderId="23" xfId="81" applyFont="1" applyFill="1" applyBorder="1" applyAlignment="1">
      <alignment horizontal="center" vertical="center" wrapText="1"/>
    </xf>
    <xf numFmtId="0" fontId="39" fillId="2" borderId="3" xfId="81" applyFont="1" applyFill="1" applyBorder="1" applyAlignment="1">
      <alignment horizontal="center" vertical="center" wrapText="1"/>
    </xf>
    <xf numFmtId="0" fontId="39" fillId="2" borderId="4" xfId="81" applyFont="1" applyFill="1" applyBorder="1" applyAlignment="1">
      <alignment horizontal="center" vertical="center" wrapText="1"/>
    </xf>
    <xf numFmtId="0" fontId="39" fillId="2" borderId="17" xfId="81" applyFont="1" applyFill="1" applyBorder="1" applyAlignment="1">
      <alignment horizontal="center" vertical="center" wrapText="1"/>
    </xf>
    <xf numFmtId="0" fontId="39" fillId="2" borderId="9" xfId="81" applyFont="1" applyFill="1" applyBorder="1" applyAlignment="1">
      <alignment horizontal="center" vertical="center" wrapText="1"/>
    </xf>
    <xf numFmtId="0" fontId="39" fillId="2" borderId="23" xfId="81" quotePrefix="1" applyFont="1" applyFill="1" applyBorder="1" applyAlignment="1">
      <alignment horizontal="center" vertical="center" wrapText="1"/>
    </xf>
    <xf numFmtId="0" fontId="39" fillId="2" borderId="3" xfId="81" quotePrefix="1" applyFont="1" applyFill="1" applyBorder="1" applyAlignment="1">
      <alignment horizontal="center" vertical="center" wrapText="1"/>
    </xf>
    <xf numFmtId="0" fontId="39" fillId="2" borderId="4" xfId="81" quotePrefix="1" applyFont="1" applyFill="1" applyBorder="1" applyAlignment="1">
      <alignment horizontal="center" vertical="center" wrapText="1"/>
    </xf>
    <xf numFmtId="0" fontId="39" fillId="2" borderId="9" xfId="0" quotePrefix="1" applyFont="1" applyFill="1" applyBorder="1" applyAlignment="1">
      <alignment horizontal="center" vertical="center" wrapText="1"/>
    </xf>
    <xf numFmtId="0" fontId="39" fillId="2" borderId="7" xfId="0" quotePrefix="1" applyFont="1" applyFill="1" applyBorder="1" applyAlignment="1">
      <alignment horizontal="center" vertical="center" wrapText="1"/>
    </xf>
    <xf numFmtId="0" fontId="39" fillId="0" borderId="3" xfId="10" quotePrefix="1" applyNumberFormat="1" applyFont="1" applyFill="1" applyBorder="1" applyAlignment="1">
      <alignment horizontal="center" vertical="center"/>
    </xf>
    <xf numFmtId="0" fontId="39" fillId="0" borderId="9" xfId="10" quotePrefix="1" applyNumberFormat="1" applyFont="1" applyFill="1" applyBorder="1" applyAlignment="1">
      <alignment horizontal="center" vertical="center"/>
    </xf>
    <xf numFmtId="3" fontId="39" fillId="0" borderId="3" xfId="0" quotePrefix="1" applyNumberFormat="1" applyFont="1" applyFill="1" applyBorder="1" applyAlignment="1">
      <alignment horizontal="center" vertical="center"/>
    </xf>
    <xf numFmtId="3" fontId="39" fillId="0" borderId="4" xfId="0" quotePrefix="1" applyNumberFormat="1" applyFont="1" applyFill="1" applyBorder="1" applyAlignment="1">
      <alignment horizontal="center" vertical="center"/>
    </xf>
    <xf numFmtId="0" fontId="38" fillId="2" borderId="0" xfId="0" applyFont="1" applyFill="1" applyAlignment="1">
      <alignment horizontal="center"/>
    </xf>
    <xf numFmtId="0" fontId="40" fillId="0" borderId="0" xfId="0" applyFont="1" applyBorder="1" applyAlignment="1">
      <alignment horizontal="center" vertical="center" wrapText="1"/>
    </xf>
    <xf numFmtId="0" fontId="38" fillId="2" borderId="0" xfId="0" applyFont="1" applyFill="1" applyBorder="1" applyAlignment="1">
      <alignment horizontal="center"/>
    </xf>
    <xf numFmtId="0" fontId="39" fillId="0" borderId="9" xfId="0" applyFont="1" applyBorder="1" applyAlignment="1">
      <alignment horizontal="center" vertical="center" wrapText="1"/>
    </xf>
    <xf numFmtId="0" fontId="39" fillId="2" borderId="7" xfId="0" applyFont="1" applyFill="1" applyBorder="1" applyAlignment="1">
      <alignment horizontal="center" vertical="center" wrapText="1"/>
    </xf>
    <xf numFmtId="0" fontId="29" fillId="0" borderId="0" xfId="0" applyFont="1" applyAlignment="1">
      <alignment horizontal="center" vertical="center" wrapText="1"/>
    </xf>
    <xf numFmtId="0" fontId="22" fillId="0" borderId="0" xfId="0" applyFont="1" applyAlignment="1">
      <alignment horizontal="center"/>
    </xf>
    <xf numFmtId="0" fontId="100" fillId="0" borderId="0" xfId="0" applyFont="1" applyAlignment="1">
      <alignment horizontal="center"/>
    </xf>
    <xf numFmtId="0" fontId="100" fillId="0" borderId="15" xfId="0" applyFont="1" applyBorder="1" applyAlignment="1">
      <alignment horizontal="right" vertical="center"/>
    </xf>
    <xf numFmtId="0" fontId="29" fillId="0" borderId="0" xfId="0" applyFont="1" applyAlignment="1">
      <alignment horizontal="center" vertical="center"/>
    </xf>
    <xf numFmtId="0" fontId="64" fillId="0" borderId="15" xfId="0" applyFont="1" applyBorder="1" applyAlignment="1">
      <alignment horizontal="right" vertical="center"/>
    </xf>
    <xf numFmtId="0" fontId="66" fillId="0" borderId="23"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7"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28" xfId="0" applyFont="1" applyBorder="1" applyAlignment="1">
      <alignment horizontal="center" vertical="center" wrapText="1"/>
    </xf>
    <xf numFmtId="0" fontId="9" fillId="0" borderId="0" xfId="0" applyFont="1" applyAlignment="1">
      <alignment horizontal="left" vertical="center"/>
    </xf>
    <xf numFmtId="0" fontId="29" fillId="0" borderId="23" xfId="0" applyFont="1" applyBorder="1" applyAlignment="1">
      <alignment horizontal="center" vertical="center" wrapText="1"/>
    </xf>
    <xf numFmtId="0" fontId="29" fillId="0" borderId="4" xfId="0" applyFont="1" applyBorder="1" applyAlignment="1">
      <alignment horizontal="center" vertical="center" wrapText="1"/>
    </xf>
    <xf numFmtId="3" fontId="60" fillId="0" borderId="0" xfId="1" applyNumberFormat="1" applyFont="1" applyAlignment="1">
      <alignment horizontal="left"/>
    </xf>
    <xf numFmtId="3" fontId="7" fillId="0" borderId="0" xfId="1" applyNumberFormat="1" applyFont="1" applyAlignment="1">
      <alignment horizontal="center" vertical="center"/>
    </xf>
    <xf numFmtId="3" fontId="74" fillId="0" borderId="15" xfId="1" applyNumberFormat="1" applyFont="1" applyBorder="1" applyAlignment="1">
      <alignment horizontal="right"/>
    </xf>
    <xf numFmtId="3" fontId="108" fillId="0" borderId="0" xfId="1" applyNumberFormat="1" applyFont="1" applyAlignment="1">
      <alignment horizontal="center" vertical="center"/>
    </xf>
    <xf numFmtId="0" fontId="63" fillId="2" borderId="22" xfId="0" applyFont="1" applyFill="1" applyBorder="1" applyAlignment="1">
      <alignment horizontal="center" vertical="center" wrapText="1"/>
    </xf>
    <xf numFmtId="0" fontId="63" fillId="0" borderId="22" xfId="0" applyFont="1" applyBorder="1" applyAlignment="1">
      <alignment horizontal="center" vertical="center" wrapText="1"/>
    </xf>
    <xf numFmtId="0" fontId="63" fillId="2" borderId="23" xfId="0"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4" xfId="0" applyFont="1" applyFill="1" applyBorder="1" applyAlignment="1">
      <alignment horizontal="center" vertical="center" wrapText="1"/>
    </xf>
    <xf numFmtId="0" fontId="133" fillId="0" borderId="0" xfId="0" applyFont="1" applyAlignment="1">
      <alignment horizontal="center"/>
    </xf>
    <xf numFmtId="0" fontId="134" fillId="0" borderId="0" xfId="0" applyFont="1" applyAlignment="1">
      <alignment horizontal="center"/>
    </xf>
    <xf numFmtId="0" fontId="8" fillId="0" borderId="15" xfId="0" applyFont="1" applyBorder="1" applyAlignment="1">
      <alignment horizontal="right"/>
    </xf>
    <xf numFmtId="0" fontId="63" fillId="0" borderId="23"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62" fillId="0" borderId="22" xfId="0" applyFont="1" applyBorder="1" applyAlignment="1">
      <alignment horizontal="center" vertical="center" wrapText="1"/>
    </xf>
    <xf numFmtId="0" fontId="8" fillId="0" borderId="0" xfId="0" applyFont="1" applyAlignment="1">
      <alignment horizontal="right"/>
    </xf>
    <xf numFmtId="0" fontId="145" fillId="0" borderId="0" xfId="0" applyFont="1" applyFill="1" applyBorder="1" applyAlignment="1">
      <alignment horizontal="center" vertical="center" wrapText="1"/>
    </xf>
    <xf numFmtId="3" fontId="145" fillId="0" borderId="0" xfId="0" applyNumberFormat="1" applyFont="1" applyFill="1" applyBorder="1" applyAlignment="1">
      <alignment horizontal="center" wrapText="1"/>
    </xf>
    <xf numFmtId="0" fontId="63" fillId="0" borderId="22" xfId="0" applyFont="1" applyFill="1" applyBorder="1" applyAlignment="1">
      <alignment horizontal="center" vertical="center" wrapText="1"/>
    </xf>
    <xf numFmtId="0" fontId="141" fillId="0" borderId="0" xfId="0" applyFont="1" applyFill="1" applyAlignment="1">
      <alignment horizontal="center"/>
    </xf>
    <xf numFmtId="0" fontId="141" fillId="0" borderId="0" xfId="0" applyFont="1" applyFill="1" applyAlignment="1">
      <alignment horizontal="center" vertical="center" wrapText="1"/>
    </xf>
    <xf numFmtId="3" fontId="141" fillId="0" borderId="0" xfId="0" applyNumberFormat="1" applyFont="1" applyFill="1" applyBorder="1" applyAlignment="1">
      <alignment horizontal="center" vertical="center" wrapText="1"/>
    </xf>
    <xf numFmtId="0" fontId="7" fillId="0" borderId="0" xfId="0" applyFont="1" applyFill="1" applyAlignment="1">
      <alignment horizontal="right"/>
    </xf>
    <xf numFmtId="0" fontId="133" fillId="0" borderId="0" xfId="0" applyFont="1" applyFill="1" applyAlignment="1">
      <alignment horizontal="center"/>
    </xf>
    <xf numFmtId="0" fontId="134" fillId="0" borderId="0" xfId="0" applyFont="1" applyFill="1" applyAlignment="1">
      <alignment horizontal="center"/>
    </xf>
    <xf numFmtId="0" fontId="63" fillId="0" borderId="23" xfId="0" applyFont="1" applyFill="1" applyBorder="1" applyAlignment="1">
      <alignment horizontal="center" vertical="center" wrapText="1"/>
    </xf>
    <xf numFmtId="0" fontId="63" fillId="0" borderId="3"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2" fillId="0" borderId="22" xfId="0" applyFont="1" applyFill="1" applyBorder="1" applyAlignment="1">
      <alignment horizontal="center" vertical="center" wrapText="1"/>
    </xf>
    <xf numFmtId="0" fontId="64" fillId="0" borderId="0" xfId="0" applyFont="1" applyAlignment="1">
      <alignment horizontal="center" vertical="center"/>
    </xf>
    <xf numFmtId="0" fontId="22" fillId="0" borderId="0" xfId="0" applyFont="1" applyAlignment="1">
      <alignment horizontal="left" vertical="center"/>
    </xf>
    <xf numFmtId="0" fontId="9" fillId="0" borderId="22" xfId="0" applyFont="1" applyBorder="1" applyAlignment="1">
      <alignment horizontal="center" vertical="center" wrapText="1"/>
    </xf>
    <xf numFmtId="0" fontId="28" fillId="0" borderId="22" xfId="0" applyFont="1" applyBorder="1" applyAlignment="1">
      <alignment horizontal="center" vertical="center" wrapText="1"/>
    </xf>
    <xf numFmtId="175" fontId="28" fillId="0" borderId="22" xfId="9" applyNumberFormat="1" applyFont="1" applyBorder="1" applyAlignment="1">
      <alignment horizontal="center" vertical="center" wrapText="1"/>
    </xf>
    <xf numFmtId="172" fontId="28" fillId="0" borderId="22" xfId="9" applyNumberFormat="1" applyFont="1" applyBorder="1" applyAlignment="1">
      <alignment horizontal="center" vertical="center" wrapText="1"/>
    </xf>
    <xf numFmtId="175" fontId="32" fillId="0" borderId="22" xfId="9" applyNumberFormat="1" applyFont="1" applyBorder="1" applyAlignment="1">
      <alignment horizontal="center" vertical="center" wrapText="1"/>
    </xf>
    <xf numFmtId="0" fontId="7" fillId="0" borderId="0" xfId="0" applyFont="1" applyFill="1" applyAlignment="1">
      <alignment horizontal="center"/>
    </xf>
    <xf numFmtId="0" fontId="40" fillId="0" borderId="0" xfId="0" applyFont="1" applyAlignment="1">
      <alignment horizontal="center" vertical="center" wrapText="1"/>
    </xf>
    <xf numFmtId="0" fontId="8" fillId="0" borderId="15" xfId="0" applyFont="1" applyFill="1" applyBorder="1" applyAlignment="1">
      <alignment horizontal="right"/>
    </xf>
    <xf numFmtId="0" fontId="133" fillId="0" borderId="0" xfId="0" applyFont="1" applyAlignment="1">
      <alignment horizontal="center" vertical="center"/>
    </xf>
    <xf numFmtId="0" fontId="141" fillId="0" borderId="0" xfId="0" applyFont="1" applyAlignment="1">
      <alignment horizontal="center"/>
    </xf>
    <xf numFmtId="0" fontId="134" fillId="0" borderId="0" xfId="0" applyFont="1" applyBorder="1" applyAlignment="1">
      <alignment horizontal="center" vertical="center" wrapText="1"/>
    </xf>
    <xf numFmtId="3" fontId="134" fillId="0" borderId="0" xfId="0" applyNumberFormat="1" applyFont="1" applyBorder="1" applyAlignment="1">
      <alignment horizontal="center" wrapText="1"/>
    </xf>
    <xf numFmtId="3" fontId="133" fillId="0" borderId="0" xfId="0" applyNumberFormat="1" applyFont="1" applyBorder="1" applyAlignment="1">
      <alignment horizontal="center" vertical="center" wrapText="1"/>
    </xf>
    <xf numFmtId="0" fontId="141" fillId="0" borderId="0" xfId="0" applyFont="1" applyAlignment="1">
      <alignment horizontal="center"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169" fontId="8" fillId="0" borderId="0" xfId="84" applyNumberFormat="1" applyFont="1" applyAlignment="1">
      <alignment horizontal="center" vertical="center" wrapText="1"/>
    </xf>
    <xf numFmtId="169" fontId="7" fillId="0" borderId="0" xfId="84" applyNumberFormat="1" applyFont="1" applyAlignment="1">
      <alignment horizontal="center" vertical="center" wrapText="1"/>
    </xf>
    <xf numFmtId="0" fontId="8" fillId="0" borderId="0" xfId="0" applyFont="1" applyAlignment="1">
      <alignment horizontal="right"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89" fillId="0" borderId="0" xfId="0" applyFont="1" applyAlignment="1">
      <alignment horizontal="right" vertical="center"/>
    </xf>
    <xf numFmtId="0" fontId="50" fillId="0" borderId="0" xfId="0" applyFont="1" applyAlignment="1">
      <alignment horizontal="center" vertical="center" wrapText="1"/>
    </xf>
    <xf numFmtId="0" fontId="89" fillId="0" borderId="15" xfId="0" applyFont="1" applyBorder="1" applyAlignment="1">
      <alignment horizontal="right" vertical="center"/>
    </xf>
    <xf numFmtId="0" fontId="50" fillId="0" borderId="23"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4" xfId="0" applyFont="1" applyBorder="1" applyAlignment="1">
      <alignment horizontal="center" vertical="center" wrapText="1"/>
    </xf>
    <xf numFmtId="0" fontId="7" fillId="0" borderId="2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0" fillId="0" borderId="26"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Fill="1" applyBorder="1" applyAlignment="1">
      <alignment horizontal="center" vertical="center" wrapText="1"/>
    </xf>
    <xf numFmtId="0" fontId="50" fillId="0" borderId="3" xfId="0" applyFont="1" applyFill="1" applyBorder="1" applyAlignment="1">
      <alignment horizontal="center" vertical="center" wrapText="1"/>
    </xf>
    <xf numFmtId="0" fontId="50" fillId="0" borderId="4" xfId="0" applyFont="1" applyFill="1" applyBorder="1" applyAlignment="1">
      <alignment horizontal="center" vertical="center" wrapText="1"/>
    </xf>
    <xf numFmtId="0" fontId="89" fillId="0" borderId="22" xfId="0" applyFont="1" applyBorder="1" applyAlignment="1">
      <alignment horizontal="center" vertical="center"/>
    </xf>
    <xf numFmtId="0" fontId="89" fillId="0" borderId="0" xfId="0" applyFont="1" applyAlignment="1">
      <alignment horizontal="center" vertical="center" wrapText="1"/>
    </xf>
    <xf numFmtId="0" fontId="44" fillId="0" borderId="22" xfId="0" applyFont="1" applyBorder="1" applyAlignment="1">
      <alignment horizontal="center" vertical="center" wrapText="1"/>
    </xf>
    <xf numFmtId="0" fontId="44" fillId="0" borderId="22"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50" fillId="0" borderId="0" xfId="0" applyFont="1" applyAlignment="1">
      <alignment horizontal="center"/>
    </xf>
    <xf numFmtId="169" fontId="89" fillId="0" borderId="0" xfId="84" applyNumberFormat="1" applyFont="1" applyAlignment="1">
      <alignment horizontal="center"/>
    </xf>
    <xf numFmtId="169" fontId="50" fillId="0" borderId="0" xfId="84" applyNumberFormat="1" applyFont="1" applyAlignment="1">
      <alignment horizontal="center"/>
    </xf>
    <xf numFmtId="0" fontId="89" fillId="0" borderId="0" xfId="0" applyFont="1" applyAlignment="1">
      <alignment horizontal="center"/>
    </xf>
    <xf numFmtId="0" fontId="127" fillId="0" borderId="0" xfId="0" applyFont="1" applyAlignment="1">
      <alignment horizontal="left" vertical="center" wrapText="1"/>
    </xf>
    <xf numFmtId="0" fontId="133" fillId="0" borderId="0" xfId="0" applyFont="1" applyAlignment="1">
      <alignment horizontal="center" vertical="center" wrapText="1"/>
    </xf>
    <xf numFmtId="0" fontId="8" fillId="0" borderId="15" xfId="0" applyFont="1" applyBorder="1" applyAlignment="1">
      <alignment horizontal="right" vertical="center" wrapText="1"/>
    </xf>
    <xf numFmtId="0" fontId="127" fillId="0" borderId="24" xfId="0" applyFont="1" applyBorder="1" applyAlignment="1">
      <alignment horizontal="center" vertical="center" wrapText="1"/>
    </xf>
    <xf numFmtId="0" fontId="127" fillId="0" borderId="17" xfId="0" applyFont="1" applyBorder="1" applyAlignment="1">
      <alignment horizontal="center" vertical="center" wrapText="1"/>
    </xf>
    <xf numFmtId="0" fontId="127" fillId="0" borderId="0" xfId="0" applyFont="1" applyAlignment="1">
      <alignment horizontal="center" vertical="center" wrapText="1"/>
    </xf>
    <xf numFmtId="169" fontId="94" fillId="0" borderId="0" xfId="84" applyNumberFormat="1" applyFont="1" applyAlignment="1">
      <alignment horizontal="center" vertical="center" wrapText="1"/>
    </xf>
    <xf numFmtId="0" fontId="127" fillId="0" borderId="22" xfId="0" applyFont="1" applyBorder="1" applyAlignment="1">
      <alignment horizontal="center" vertical="center" wrapText="1"/>
    </xf>
    <xf numFmtId="0" fontId="127" fillId="0" borderId="23" xfId="0" applyFont="1" applyBorder="1" applyAlignment="1">
      <alignment horizontal="center" vertical="center" wrapText="1"/>
    </xf>
    <xf numFmtId="0" fontId="127" fillId="0" borderId="34" xfId="0" applyFont="1" applyBorder="1" applyAlignment="1">
      <alignment horizontal="center" vertical="center" wrapText="1"/>
    </xf>
    <xf numFmtId="0" fontId="127" fillId="0" borderId="28" xfId="0" applyFont="1" applyBorder="1" applyAlignment="1">
      <alignment horizontal="center" vertical="center" wrapText="1"/>
    </xf>
    <xf numFmtId="166" fontId="8" fillId="0" borderId="0" xfId="3" applyNumberFormat="1" applyFont="1" applyAlignment="1">
      <alignment horizontal="center" vertical="center"/>
    </xf>
    <xf numFmtId="166" fontId="7" fillId="0" borderId="0" xfId="3" applyNumberFormat="1" applyFont="1" applyAlignment="1">
      <alignment horizontal="center" vertical="center"/>
    </xf>
    <xf numFmtId="166" fontId="7" fillId="0" borderId="0" xfId="0" applyNumberFormat="1" applyFont="1" applyAlignment="1">
      <alignment horizontal="center"/>
    </xf>
    <xf numFmtId="0" fontId="7" fillId="0" borderId="22" xfId="3" applyFont="1" applyBorder="1" applyAlignment="1">
      <alignment horizontal="center" vertical="center" wrapText="1"/>
    </xf>
    <xf numFmtId="166" fontId="154" fillId="0" borderId="26" xfId="0" applyNumberFormat="1" applyFont="1" applyBorder="1" applyAlignment="1">
      <alignment horizontal="center" vertical="center" wrapText="1"/>
    </xf>
    <xf numFmtId="166" fontId="154" fillId="0" borderId="34" xfId="0" applyNumberFormat="1" applyFont="1" applyBorder="1" applyAlignment="1">
      <alignment horizontal="center" vertical="center" wrapText="1"/>
    </xf>
    <xf numFmtId="166" fontId="154" fillId="0" borderId="28" xfId="0" applyNumberFormat="1" applyFont="1" applyBorder="1" applyAlignment="1">
      <alignment horizontal="center" vertical="center" wrapText="1"/>
    </xf>
    <xf numFmtId="166" fontId="154" fillId="0" borderId="22" xfId="0" applyNumberFormat="1" applyFont="1" applyBorder="1" applyAlignment="1">
      <alignment horizontal="center" vertical="center" wrapText="1"/>
    </xf>
    <xf numFmtId="166" fontId="149" fillId="0" borderId="23" xfId="3" applyNumberFormat="1" applyFont="1" applyBorder="1" applyAlignment="1">
      <alignment horizontal="center" vertical="center" wrapText="1"/>
    </xf>
    <xf numFmtId="166" fontId="149" fillId="0" borderId="4" xfId="3" applyNumberFormat="1" applyFont="1" applyBorder="1" applyAlignment="1">
      <alignment horizontal="center" vertical="center" wrapText="1"/>
    </xf>
    <xf numFmtId="166" fontId="55" fillId="0" borderId="22" xfId="0" applyNumberFormat="1" applyFont="1" applyBorder="1" applyAlignment="1">
      <alignment horizontal="center" vertical="center" wrapText="1"/>
    </xf>
    <xf numFmtId="166" fontId="154" fillId="0" borderId="23" xfId="0" applyNumberFormat="1" applyFont="1" applyBorder="1" applyAlignment="1">
      <alignment horizontal="center" vertical="center" wrapText="1"/>
    </xf>
    <xf numFmtId="166" fontId="154" fillId="0" borderId="3" xfId="0" applyNumberFormat="1" applyFont="1" applyBorder="1" applyAlignment="1">
      <alignment horizontal="center" vertical="center" wrapText="1"/>
    </xf>
    <xf numFmtId="166" fontId="154" fillId="0" borderId="4" xfId="0" applyNumberFormat="1" applyFont="1" applyBorder="1" applyAlignment="1">
      <alignment horizontal="center" vertical="center" wrapText="1"/>
    </xf>
    <xf numFmtId="0" fontId="7" fillId="0" borderId="0" xfId="3" applyFont="1" applyAlignment="1">
      <alignment horizontal="left" vertical="center" wrapText="1"/>
    </xf>
    <xf numFmtId="166" fontId="8" fillId="0" borderId="0" xfId="3" applyNumberFormat="1" applyFont="1" applyAlignment="1">
      <alignment horizontal="right" vertical="center"/>
    </xf>
    <xf numFmtId="0" fontId="150" fillId="0" borderId="0" xfId="3" applyFont="1" applyAlignment="1">
      <alignment horizontal="center" vertical="center"/>
    </xf>
    <xf numFmtId="0" fontId="134" fillId="0" borderId="0" xfId="3" applyFont="1" applyFill="1" applyAlignment="1">
      <alignment horizontal="center" vertical="center"/>
    </xf>
    <xf numFmtId="166" fontId="92" fillId="0" borderId="0" xfId="0" applyNumberFormat="1" applyFont="1" applyFill="1" applyBorder="1" applyAlignment="1">
      <alignment horizontal="right"/>
    </xf>
    <xf numFmtId="166" fontId="156" fillId="0" borderId="22" xfId="0" applyNumberFormat="1" applyFont="1" applyBorder="1" applyAlignment="1">
      <alignment horizontal="center" vertical="center" wrapText="1"/>
    </xf>
    <xf numFmtId="166" fontId="55" fillId="0" borderId="26" xfId="0" applyNumberFormat="1" applyFont="1" applyBorder="1" applyAlignment="1">
      <alignment horizontal="center" vertical="center" wrapText="1"/>
    </xf>
    <xf numFmtId="166" fontId="55" fillId="0" borderId="28" xfId="0" applyNumberFormat="1" applyFont="1" applyBorder="1" applyAlignment="1">
      <alignment horizontal="center" vertical="center" wrapText="1"/>
    </xf>
    <xf numFmtId="166" fontId="22" fillId="0" borderId="22" xfId="0" applyNumberFormat="1" applyFont="1" applyBorder="1" applyAlignment="1">
      <alignment horizontal="center" vertical="center" wrapText="1"/>
    </xf>
    <xf numFmtId="0" fontId="140" fillId="26" borderId="0" xfId="3" applyFont="1" applyFill="1" applyAlignment="1">
      <alignment horizontal="left" vertical="center" wrapText="1"/>
    </xf>
    <xf numFmtId="166" fontId="156" fillId="0" borderId="23" xfId="0" applyNumberFormat="1" applyFont="1" applyBorder="1" applyAlignment="1">
      <alignment horizontal="center" vertical="center" wrapText="1"/>
    </xf>
    <xf numFmtId="166" fontId="156" fillId="0" borderId="4" xfId="0" applyNumberFormat="1" applyFont="1" applyBorder="1" applyAlignment="1">
      <alignment horizontal="center" vertical="center" wrapText="1"/>
    </xf>
    <xf numFmtId="166" fontId="55" fillId="0" borderId="35" xfId="0" applyNumberFormat="1" applyFont="1" applyBorder="1" applyAlignment="1">
      <alignment horizontal="center" vertical="center" wrapText="1"/>
    </xf>
    <xf numFmtId="166" fontId="55" fillId="0" borderId="36" xfId="0" applyNumberFormat="1" applyFont="1" applyBorder="1" applyAlignment="1">
      <alignment horizontal="center" vertical="center" wrapText="1"/>
    </xf>
    <xf numFmtId="0" fontId="94" fillId="0" borderId="0" xfId="0" applyFont="1" applyAlignment="1">
      <alignment horizontal="center"/>
    </xf>
    <xf numFmtId="0" fontId="127" fillId="0" borderId="0" xfId="0" applyFont="1" applyAlignment="1">
      <alignment horizontal="center" vertical="center"/>
    </xf>
    <xf numFmtId="0" fontId="94" fillId="0" borderId="15" xfId="0" applyFont="1" applyBorder="1" applyAlignment="1">
      <alignment horizontal="right" vertical="center"/>
    </xf>
    <xf numFmtId="0" fontId="127" fillId="0" borderId="22" xfId="0" applyFont="1" applyBorder="1" applyAlignment="1">
      <alignment horizontal="center" vertical="center"/>
    </xf>
    <xf numFmtId="169" fontId="127" fillId="0" borderId="0" xfId="84" applyNumberFormat="1" applyFont="1" applyAlignment="1">
      <alignment horizontal="center" wrapText="1"/>
    </xf>
    <xf numFmtId="169" fontId="94" fillId="0" borderId="0" xfId="84" applyNumberFormat="1" applyFont="1" applyAlignment="1">
      <alignment horizontal="center"/>
    </xf>
    <xf numFmtId="49" fontId="7" fillId="0" borderId="0" xfId="40" applyNumberFormat="1" applyFont="1" applyAlignment="1">
      <alignment horizontal="left" vertical="center"/>
    </xf>
    <xf numFmtId="0" fontId="7" fillId="0" borderId="22" xfId="0" applyFont="1" applyBorder="1" applyAlignment="1">
      <alignment horizontal="center" vertical="center"/>
    </xf>
    <xf numFmtId="0" fontId="7" fillId="0" borderId="3" xfId="0" applyFont="1" applyBorder="1" applyAlignment="1">
      <alignment horizontal="center" vertical="center" wrapText="1"/>
    </xf>
    <xf numFmtId="0" fontId="14" fillId="0" borderId="22" xfId="0" applyFont="1" applyBorder="1" applyAlignment="1">
      <alignment horizontal="center" vertical="center" wrapText="1"/>
    </xf>
    <xf numFmtId="0" fontId="8" fillId="0" borderId="0" xfId="0" applyFont="1" applyAlignment="1">
      <alignment horizontal="right" vertical="center"/>
    </xf>
    <xf numFmtId="49" fontId="8" fillId="0" borderId="0" xfId="40" applyNumberFormat="1" applyFont="1" applyAlignment="1">
      <alignment horizontal="center" vertical="center"/>
    </xf>
    <xf numFmtId="49" fontId="7" fillId="0" borderId="0" xfId="40" applyNumberFormat="1" applyFont="1" applyAlignment="1">
      <alignment horizontal="center" vertical="center" wrapText="1"/>
    </xf>
    <xf numFmtId="0" fontId="7" fillId="0" borderId="0" xfId="66" applyFont="1" applyAlignment="1">
      <alignment horizontal="left" wrapText="1"/>
    </xf>
    <xf numFmtId="0" fontId="8" fillId="0" borderId="15" xfId="66" applyFont="1" applyBorder="1" applyAlignment="1">
      <alignment horizontal="center" wrapText="1"/>
    </xf>
    <xf numFmtId="0" fontId="105" fillId="0" borderId="5" xfId="66" applyFont="1" applyBorder="1" applyAlignment="1">
      <alignment horizontal="center" vertical="center" wrapText="1"/>
    </xf>
    <xf numFmtId="0" fontId="7" fillId="0" borderId="0" xfId="66" applyFont="1" applyAlignment="1">
      <alignment horizontal="center" wrapText="1"/>
    </xf>
    <xf numFmtId="3" fontId="94" fillId="0" borderId="0" xfId="66" applyNumberFormat="1" applyFont="1" applyAlignment="1">
      <alignment horizontal="center" wrapText="1"/>
    </xf>
    <xf numFmtId="0" fontId="94" fillId="0" borderId="0" xfId="66" applyFont="1" applyAlignment="1">
      <alignment horizontal="center" wrapText="1"/>
    </xf>
    <xf numFmtId="0" fontId="60" fillId="0" borderId="12" xfId="66" applyFont="1" applyBorder="1" applyAlignment="1">
      <alignment horizontal="center" vertical="center" wrapText="1"/>
    </xf>
    <xf numFmtId="0" fontId="60" fillId="0" borderId="14" xfId="66" applyFont="1" applyBorder="1" applyAlignment="1">
      <alignment horizontal="center" vertical="center" wrapText="1"/>
    </xf>
  </cellXfs>
  <cellStyles count="85">
    <cellStyle name="20% - Accent1 2" xfId="14"/>
    <cellStyle name="20% - Accent2 2" xfId="15"/>
    <cellStyle name="20% - Accent3 2" xfId="16"/>
    <cellStyle name="20% - Accent4 2" xfId="17"/>
    <cellStyle name="20% - Accent5 2" xfId="18"/>
    <cellStyle name="20% - Accent6 2" xfId="19"/>
    <cellStyle name="40% - Accent1 2" xfId="20"/>
    <cellStyle name="40% - Accent2 2" xfId="21"/>
    <cellStyle name="40% - Accent3 2" xfId="22"/>
    <cellStyle name="40% - Accent4 2" xfId="23"/>
    <cellStyle name="40% - Accent5 2" xfId="24"/>
    <cellStyle name="40% - Accent6 2" xfId="25"/>
    <cellStyle name="60% - Accent1 2" xfId="26"/>
    <cellStyle name="60% - Accent2 2" xfId="27"/>
    <cellStyle name="60% - Accent3 2" xfId="28"/>
    <cellStyle name="60% - Accent4 2" xfId="29"/>
    <cellStyle name="60% - Accent5 2" xfId="30"/>
    <cellStyle name="60% - Accent6 2" xfId="31"/>
    <cellStyle name="Accent1 2" xfId="32"/>
    <cellStyle name="Accent2 2" xfId="33"/>
    <cellStyle name="Accent3 2" xfId="34"/>
    <cellStyle name="Accent4 2" xfId="35"/>
    <cellStyle name="Accent5 2" xfId="36"/>
    <cellStyle name="Accent6 2" xfId="37"/>
    <cellStyle name="Bad 2" xfId="38"/>
    <cellStyle name="Bình thường 2" xfId="39"/>
    <cellStyle name="Bình thường 3" xfId="11"/>
    <cellStyle name="Calculation 2" xfId="41"/>
    <cellStyle name="Check Cell 2" xfId="42"/>
    <cellStyle name="Chuẩn 2" xfId="79"/>
    <cellStyle name="Comma" xfId="10" builtinId="3"/>
    <cellStyle name="Comma [0]" xfId="9" builtinId="6"/>
    <cellStyle name="Comma [0] 2" xfId="71"/>
    <cellStyle name="Comma [0] 3" xfId="65"/>
    <cellStyle name="Comma 10 10" xfId="78"/>
    <cellStyle name="Comma 12" xfId="43"/>
    <cellStyle name="Comma 12 2" xfId="73"/>
    <cellStyle name="Comma 2" xfId="44"/>
    <cellStyle name="Comma 2 2" xfId="76"/>
    <cellStyle name="Comma 3" xfId="45"/>
    <cellStyle name="Comma 3 2" xfId="72"/>
    <cellStyle name="Comma 4" xfId="69"/>
    <cellStyle name="Comma 5" xfId="70"/>
    <cellStyle name="Comma 6" xfId="46"/>
    <cellStyle name="Comma 9" xfId="80"/>
    <cellStyle name="Comma_4" xfId="67"/>
    <cellStyle name="Dấu phảy [0] 2" xfId="47"/>
    <cellStyle name="Dấu phảy [0] 3" xfId="48"/>
    <cellStyle name="Dấu_phảy 2" xfId="75"/>
    <cellStyle name="Explanatory Text 2" xfId="49"/>
    <cellStyle name="Good 2" xfId="50"/>
    <cellStyle name="Header1" xfId="4"/>
    <cellStyle name="Header2" xfId="5"/>
    <cellStyle name="Linked Cell 2" xfId="51"/>
    <cellStyle name="Neutral 2" xfId="52"/>
    <cellStyle name="Normal" xfId="0" builtinId="0"/>
    <cellStyle name="Normal 10" xfId="63"/>
    <cellStyle name="Normal 11" xfId="7"/>
    <cellStyle name="Normal 12" xfId="8"/>
    <cellStyle name="Normal 13" xfId="59"/>
    <cellStyle name="Normal 14" xfId="68"/>
    <cellStyle name="Normal 2" xfId="1"/>
    <cellStyle name="Normal 2 2" xfId="54"/>
    <cellStyle name="Normal 2 2 2" xfId="81"/>
    <cellStyle name="Normal 2 3" xfId="53"/>
    <cellStyle name="Normal 2_13" xfId="55"/>
    <cellStyle name="Normal 3" xfId="3"/>
    <cellStyle name="Normal 4" xfId="6"/>
    <cellStyle name="Normal 4 2" xfId="56"/>
    <cellStyle name="Normal 4 3" xfId="74"/>
    <cellStyle name="Normal 5" xfId="13"/>
    <cellStyle name="Normal 6" xfId="40"/>
    <cellStyle name="Normal 7" xfId="60"/>
    <cellStyle name="Normal 8" xfId="61"/>
    <cellStyle name="Normal 9" xfId="62"/>
    <cellStyle name="Normal 9 2" xfId="77"/>
    <cellStyle name="Normal_060331 Bieu tinh chi thuong xuyen NSDP 2007 theo DM bc TTg" xfId="12"/>
    <cellStyle name="Normal_4" xfId="66"/>
    <cellStyle name="Normal_Bang dự toán cấp 0" xfId="82"/>
    <cellStyle name="Normal_pl6Bieu so 45" xfId="2"/>
    <cellStyle name="Normal_QT thu chi quan ly qua ngan sach" xfId="84"/>
    <cellStyle name="Normal_Sheet1" xfId="83"/>
    <cellStyle name="Percent" xfId="64" builtinId="5"/>
    <cellStyle name="Percent 2" xfId="57"/>
    <cellStyle name="Total 2" xfId="5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zoomScale="90" zoomScaleNormal="90" workbookViewId="0">
      <selection activeCell="I13" sqref="I13"/>
    </sheetView>
  </sheetViews>
  <sheetFormatPr defaultRowHeight="15" x14ac:dyDescent="0.25"/>
  <cols>
    <col min="1" max="1" width="6.28515625" style="92" customWidth="1"/>
    <col min="2" max="2" width="42" style="92" customWidth="1"/>
    <col min="3" max="3" width="15.5703125" style="92" customWidth="1"/>
    <col min="4" max="4" width="15" style="158" customWidth="1"/>
    <col min="5" max="5" width="13.7109375" style="92" customWidth="1"/>
    <col min="6" max="6" width="13.7109375" style="1027" customWidth="1"/>
    <col min="7" max="8" width="9.140625" style="92"/>
    <col min="9" max="9" width="11.140625" style="92" bestFit="1" customWidth="1"/>
    <col min="10" max="16384" width="9.140625" style="92"/>
  </cols>
  <sheetData>
    <row r="1" spans="1:6" s="994" customFormat="1" ht="26.25" customHeight="1" x14ac:dyDescent="0.25">
      <c r="A1" s="1028" t="s">
        <v>652</v>
      </c>
      <c r="D1" s="1029"/>
      <c r="E1" s="1756" t="s">
        <v>542</v>
      </c>
      <c r="F1" s="1756"/>
    </row>
    <row r="2" spans="1:6" ht="7.5" customHeight="1" x14ac:dyDescent="0.25">
      <c r="A2" s="156"/>
      <c r="E2" s="883"/>
      <c r="F2" s="1004"/>
    </row>
    <row r="3" spans="1:6" ht="22.15" customHeight="1" x14ac:dyDescent="0.25">
      <c r="A3" s="1757" t="s">
        <v>540</v>
      </c>
      <c r="B3" s="1757"/>
      <c r="C3" s="1757"/>
      <c r="D3" s="1757"/>
      <c r="E3" s="1757"/>
      <c r="F3" s="1757"/>
    </row>
    <row r="4" spans="1:6" ht="25.5" customHeight="1" x14ac:dyDescent="0.25">
      <c r="A4" s="1760" t="s">
        <v>1053</v>
      </c>
      <c r="B4" s="1760"/>
      <c r="C4" s="1760"/>
      <c r="D4" s="1760"/>
      <c r="E4" s="1760"/>
      <c r="F4" s="1760"/>
    </row>
    <row r="5" spans="1:6" ht="15.75" x14ac:dyDescent="0.25">
      <c r="F5" s="1005" t="s">
        <v>525</v>
      </c>
    </row>
    <row r="6" spans="1:6" ht="15.75" x14ac:dyDescent="0.25">
      <c r="A6" s="1758" t="s">
        <v>1</v>
      </c>
      <c r="B6" s="1758" t="s">
        <v>2</v>
      </c>
      <c r="C6" s="1758" t="s">
        <v>3</v>
      </c>
      <c r="D6" s="1759" t="s">
        <v>169</v>
      </c>
      <c r="E6" s="1758" t="s">
        <v>170</v>
      </c>
      <c r="F6" s="1758"/>
    </row>
    <row r="7" spans="1:6" ht="31.5" x14ac:dyDescent="0.25">
      <c r="A7" s="1758"/>
      <c r="B7" s="1758"/>
      <c r="C7" s="1758"/>
      <c r="D7" s="1759"/>
      <c r="E7" s="885" t="s">
        <v>171</v>
      </c>
      <c r="F7" s="1006" t="s">
        <v>172</v>
      </c>
    </row>
    <row r="8" spans="1:6" ht="20.25" customHeight="1" x14ac:dyDescent="0.25">
      <c r="A8" s="999" t="s">
        <v>4</v>
      </c>
      <c r="B8" s="999" t="s">
        <v>5</v>
      </c>
      <c r="C8" s="999">
        <v>1</v>
      </c>
      <c r="D8" s="1035">
        <v>2</v>
      </c>
      <c r="E8" s="999" t="s">
        <v>167</v>
      </c>
      <c r="F8" s="1036" t="s">
        <v>173</v>
      </c>
    </row>
    <row r="9" spans="1:6" s="156" customFormat="1" ht="20.25" customHeight="1" x14ac:dyDescent="0.2">
      <c r="A9" s="885" t="s">
        <v>4</v>
      </c>
      <c r="B9" s="205" t="s">
        <v>174</v>
      </c>
      <c r="C9" s="1007">
        <f>C10+C13+C16+C17+C18+C19</f>
        <v>131541000</v>
      </c>
      <c r="D9" s="1007">
        <f>D10+D13+D16+D17+D18+D19</f>
        <v>180392183.704</v>
      </c>
      <c r="E9" s="1007">
        <f t="shared" ref="E9:E16" si="0">D9-C9</f>
        <v>48851183.703999996</v>
      </c>
      <c r="F9" s="1008">
        <f>D9/C9</f>
        <v>1.3713761010179335</v>
      </c>
    </row>
    <row r="10" spans="1:6" s="156" customFormat="1" ht="20.25" customHeight="1" x14ac:dyDescent="0.2">
      <c r="A10" s="202" t="s">
        <v>6</v>
      </c>
      <c r="B10" s="203" t="s">
        <v>63</v>
      </c>
      <c r="C10" s="1009">
        <f>SUM(C11:C12)</f>
        <v>0</v>
      </c>
      <c r="D10" s="1009">
        <f>SUM(D11:D12)</f>
        <v>329320.12699999998</v>
      </c>
      <c r="E10" s="1009">
        <f>D10-C10</f>
        <v>329320.12699999998</v>
      </c>
      <c r="F10" s="1010"/>
    </row>
    <row r="11" spans="1:6" ht="20.25" customHeight="1" x14ac:dyDescent="0.25">
      <c r="A11" s="194">
        <v>1</v>
      </c>
      <c r="B11" s="195" t="s">
        <v>175</v>
      </c>
      <c r="C11" s="1001"/>
      <c r="D11" s="1001">
        <f>'50N'!F32</f>
        <v>329320.12699999998</v>
      </c>
      <c r="E11" s="1001">
        <f t="shared" si="0"/>
        <v>329320.12699999998</v>
      </c>
      <c r="F11" s="1011"/>
    </row>
    <row r="12" spans="1:6" ht="32.25" customHeight="1" x14ac:dyDescent="0.25">
      <c r="A12" s="194">
        <v>2</v>
      </c>
      <c r="B12" s="195" t="s">
        <v>176</v>
      </c>
      <c r="C12" s="1001"/>
      <c r="D12" s="1001"/>
      <c r="E12" s="1001">
        <f t="shared" si="0"/>
        <v>0</v>
      </c>
      <c r="F12" s="1011"/>
    </row>
    <row r="13" spans="1:6" s="156" customFormat="1" ht="20.25" customHeight="1" x14ac:dyDescent="0.2">
      <c r="A13" s="192" t="s">
        <v>12</v>
      </c>
      <c r="B13" s="193" t="s">
        <v>177</v>
      </c>
      <c r="C13" s="1002">
        <f>SUM(C14:C15)</f>
        <v>131541000</v>
      </c>
      <c r="D13" s="1002">
        <f>SUM(D14:D15)</f>
        <v>176107963.10499999</v>
      </c>
      <c r="E13" s="1002">
        <f t="shared" si="0"/>
        <v>44566963.104999989</v>
      </c>
      <c r="F13" s="1012">
        <f>D13/C13</f>
        <v>1.3388066314305045</v>
      </c>
    </row>
    <row r="14" spans="1:6" ht="20.25" customHeight="1" x14ac:dyDescent="0.25">
      <c r="A14" s="194">
        <v>1</v>
      </c>
      <c r="B14" s="1013" t="s">
        <v>56</v>
      </c>
      <c r="C14" s="1014">
        <f>'49N'!C13</f>
        <v>130344000</v>
      </c>
      <c r="D14" s="1014">
        <f>'49N'!D13</f>
        <v>129620000</v>
      </c>
      <c r="E14" s="1001">
        <f>D14-C14</f>
        <v>-724000</v>
      </c>
      <c r="F14" s="1015">
        <f>D14/C14</f>
        <v>0.99444546737862882</v>
      </c>
    </row>
    <row r="15" spans="1:6" ht="20.25" customHeight="1" x14ac:dyDescent="0.25">
      <c r="A15" s="194">
        <v>2</v>
      </c>
      <c r="B15" s="1013" t="s">
        <v>57</v>
      </c>
      <c r="C15" s="1016">
        <f>'49N'!C14</f>
        <v>1197000</v>
      </c>
      <c r="D15" s="1014">
        <f>'49N'!D14</f>
        <v>46487963.104999997</v>
      </c>
      <c r="E15" s="1001">
        <f>D15-C15</f>
        <v>45290963.104999997</v>
      </c>
      <c r="F15" s="1015">
        <f>D15/C15</f>
        <v>38.837061908939013</v>
      </c>
    </row>
    <row r="16" spans="1:6" s="156" customFormat="1" ht="20.25" customHeight="1" x14ac:dyDescent="0.2">
      <c r="A16" s="192" t="s">
        <v>19</v>
      </c>
      <c r="B16" s="193" t="s">
        <v>255</v>
      </c>
      <c r="C16" s="1002"/>
      <c r="D16" s="1002"/>
      <c r="E16" s="1002">
        <f t="shared" si="0"/>
        <v>0</v>
      </c>
      <c r="F16" s="1017"/>
    </row>
    <row r="17" spans="1:11" s="156" customFormat="1" ht="20.25" customHeight="1" x14ac:dyDescent="0.2">
      <c r="A17" s="192" t="s">
        <v>20</v>
      </c>
      <c r="B17" s="193" t="s">
        <v>58</v>
      </c>
      <c r="C17" s="1002"/>
      <c r="D17" s="1002">
        <f>'60'!E45</f>
        <v>104011.51</v>
      </c>
      <c r="E17" s="1002">
        <f>D17-C17</f>
        <v>104011.51</v>
      </c>
      <c r="F17" s="1017"/>
    </row>
    <row r="18" spans="1:11" s="156" customFormat="1" ht="31.5" customHeight="1" x14ac:dyDescent="0.2">
      <c r="A18" s="200" t="s">
        <v>24</v>
      </c>
      <c r="B18" s="201" t="s">
        <v>59</v>
      </c>
      <c r="C18" s="1018"/>
      <c r="D18" s="1018">
        <f>'60'!E44</f>
        <v>3850888.9619999998</v>
      </c>
      <c r="E18" s="1018">
        <f>D18-C18</f>
        <v>3850888.9619999998</v>
      </c>
      <c r="F18" s="1019"/>
    </row>
    <row r="19" spans="1:11" s="156" customFormat="1" ht="31.5" hidden="1" customHeight="1" x14ac:dyDescent="0.2">
      <c r="A19" s="200" t="s">
        <v>46</v>
      </c>
      <c r="B19" s="193" t="s">
        <v>96</v>
      </c>
      <c r="C19" s="1018"/>
      <c r="D19" s="1018"/>
      <c r="E19" s="1018">
        <f t="shared" ref="E19:E32" si="1">D19-C19</f>
        <v>0</v>
      </c>
      <c r="F19" s="1019"/>
    </row>
    <row r="20" spans="1:11" s="156" customFormat="1" ht="20.25" customHeight="1" x14ac:dyDescent="0.2">
      <c r="A20" s="885" t="s">
        <v>5</v>
      </c>
      <c r="B20" s="205" t="s">
        <v>76</v>
      </c>
      <c r="C20" s="1007">
        <f>C21+C29+C36</f>
        <v>131541000</v>
      </c>
      <c r="D20" s="1007">
        <f>D21+D29+D36</f>
        <v>178645584.73699996</v>
      </c>
      <c r="E20" s="1007">
        <f t="shared" ref="E20" si="2">E21+E29+E36</f>
        <v>47104584.736999989</v>
      </c>
      <c r="F20" s="1008">
        <f>D20/C20</f>
        <v>1.3580981194988631</v>
      </c>
    </row>
    <row r="21" spans="1:11" s="156" customFormat="1" ht="20.25" customHeight="1" x14ac:dyDescent="0.2">
      <c r="A21" s="202" t="s">
        <v>6</v>
      </c>
      <c r="B21" s="203" t="s">
        <v>178</v>
      </c>
      <c r="C21" s="1009">
        <f>SUM(C22:C28)</f>
        <v>130544000</v>
      </c>
      <c r="D21" s="1009">
        <f>SUM(D22:D28)</f>
        <v>153942243.87499997</v>
      </c>
      <c r="E21" s="1009">
        <f t="shared" ref="E21" si="3">SUM(E22:E28)</f>
        <v>23398243.874999993</v>
      </c>
      <c r="F21" s="1020">
        <f>D21/C21</f>
        <v>1.1792364557160802</v>
      </c>
    </row>
    <row r="22" spans="1:11" ht="20.25" customHeight="1" x14ac:dyDescent="0.25">
      <c r="A22" s="194">
        <v>1</v>
      </c>
      <c r="B22" s="195" t="s">
        <v>29</v>
      </c>
      <c r="C22" s="1001">
        <v>12468000</v>
      </c>
      <c r="D22" s="1001">
        <f>'51N'!D10</f>
        <v>16331047.693</v>
      </c>
      <c r="E22" s="1001">
        <f t="shared" si="1"/>
        <v>3863047.693</v>
      </c>
      <c r="F22" s="1012">
        <f>D22/C22</f>
        <v>1.3098369981552775</v>
      </c>
    </row>
    <row r="23" spans="1:11" ht="20.25" customHeight="1" x14ac:dyDescent="0.25">
      <c r="A23" s="194">
        <v>2</v>
      </c>
      <c r="B23" s="195" t="s">
        <v>30</v>
      </c>
      <c r="C23" s="1001">
        <f>'51N'!C14</f>
        <v>114380000</v>
      </c>
      <c r="D23" s="1001">
        <f>'51N'!D14</f>
        <v>137457184.67199999</v>
      </c>
      <c r="E23" s="1001">
        <f t="shared" si="1"/>
        <v>23077184.671999991</v>
      </c>
      <c r="F23" s="1012">
        <f>D23/C23</f>
        <v>1.2017589147753103</v>
      </c>
      <c r="I23" s="1111"/>
      <c r="K23" s="1112"/>
    </row>
    <row r="24" spans="1:11" ht="32.450000000000003" customHeight="1" x14ac:dyDescent="0.25">
      <c r="A24" s="194">
        <v>3</v>
      </c>
      <c r="B24" s="195" t="s">
        <v>179</v>
      </c>
      <c r="C24" s="1001"/>
      <c r="D24" s="1001"/>
      <c r="E24" s="1001"/>
      <c r="F24" s="1021"/>
      <c r="I24" s="1111"/>
    </row>
    <row r="25" spans="1:11" ht="21" customHeight="1" x14ac:dyDescent="0.25">
      <c r="A25" s="194">
        <v>4</v>
      </c>
      <c r="B25" s="195" t="s">
        <v>61</v>
      </c>
      <c r="C25" s="1001">
        <f>'51N'!C17</f>
        <v>2974000</v>
      </c>
      <c r="D25" s="1001"/>
      <c r="E25" s="1001">
        <f t="shared" si="1"/>
        <v>-2974000</v>
      </c>
      <c r="F25" s="1011">
        <f>D25/C25%</f>
        <v>0</v>
      </c>
    </row>
    <row r="26" spans="1:11" ht="21" customHeight="1" x14ac:dyDescent="0.25">
      <c r="A26" s="194">
        <v>5</v>
      </c>
      <c r="B26" s="195" t="s">
        <v>180</v>
      </c>
      <c r="C26" s="1001">
        <f>'51N'!C18</f>
        <v>722000</v>
      </c>
      <c r="D26" s="1001"/>
      <c r="E26" s="1001">
        <f t="shared" si="1"/>
        <v>-722000</v>
      </c>
      <c r="F26" s="1011">
        <f>D26/C26%</f>
        <v>0</v>
      </c>
    </row>
    <row r="27" spans="1:11" ht="21" customHeight="1" x14ac:dyDescent="0.25">
      <c r="A27" s="194">
        <v>6</v>
      </c>
      <c r="B27" s="195" t="s">
        <v>256</v>
      </c>
      <c r="C27" s="1001"/>
      <c r="D27" s="1001">
        <f>'61'!E60</f>
        <v>104011.51</v>
      </c>
      <c r="E27" s="1001">
        <f t="shared" ref="E27" si="4">D27-C27</f>
        <v>104011.51</v>
      </c>
      <c r="F27" s="1011"/>
    </row>
    <row r="28" spans="1:11" ht="21" customHeight="1" x14ac:dyDescent="0.25">
      <c r="A28" s="194">
        <v>7</v>
      </c>
      <c r="B28" s="195" t="s">
        <v>541</v>
      </c>
      <c r="C28" s="1001"/>
      <c r="D28" s="1001">
        <f>'61'!E54</f>
        <v>50000</v>
      </c>
      <c r="E28" s="1001">
        <f>D28-C28</f>
        <v>50000</v>
      </c>
      <c r="F28" s="1011"/>
    </row>
    <row r="29" spans="1:11" s="156" customFormat="1" ht="21" customHeight="1" x14ac:dyDescent="0.2">
      <c r="A29" s="192" t="s">
        <v>12</v>
      </c>
      <c r="B29" s="193" t="s">
        <v>181</v>
      </c>
      <c r="C29" s="1002">
        <f>C30+C33</f>
        <v>997000</v>
      </c>
      <c r="D29" s="1002">
        <f>D30+D33</f>
        <v>516129.13700000005</v>
      </c>
      <c r="E29" s="1002">
        <f t="shared" si="1"/>
        <v>-480870.86299999995</v>
      </c>
      <c r="F29" s="1012">
        <f>D29/C29</f>
        <v>0.51768218355065199</v>
      </c>
    </row>
    <row r="30" spans="1:11" ht="21" customHeight="1" x14ac:dyDescent="0.25">
      <c r="A30" s="194">
        <v>1</v>
      </c>
      <c r="B30" s="195" t="s">
        <v>182</v>
      </c>
      <c r="C30" s="1001">
        <f>C31+C32</f>
        <v>736000</v>
      </c>
      <c r="D30" s="1106">
        <f>D31+D32</f>
        <v>315075.43700000003</v>
      </c>
      <c r="E30" s="1001">
        <f t="shared" si="1"/>
        <v>-420924.56299999997</v>
      </c>
      <c r="F30" s="1015">
        <f t="shared" ref="F30:F35" si="5">D30/C30</f>
        <v>0.42809162635869569</v>
      </c>
    </row>
    <row r="31" spans="1:11" s="1025" customFormat="1" ht="21" customHeight="1" x14ac:dyDescent="0.25">
      <c r="A31" s="1022" t="s">
        <v>8</v>
      </c>
      <c r="B31" s="1023" t="s">
        <v>353</v>
      </c>
      <c r="C31" s="1024"/>
      <c r="D31" s="1024">
        <f>'53N'!D23+'53N'!D26</f>
        <v>60964.895000000004</v>
      </c>
      <c r="E31" s="1001">
        <f t="shared" si="1"/>
        <v>60964.895000000004</v>
      </c>
      <c r="F31" s="1015"/>
    </row>
    <row r="32" spans="1:11" s="1025" customFormat="1" ht="21" customHeight="1" x14ac:dyDescent="0.25">
      <c r="A32" s="1022" t="s">
        <v>38</v>
      </c>
      <c r="B32" s="1023" t="s">
        <v>287</v>
      </c>
      <c r="C32" s="1024">
        <f>'51N'!C25+'51N'!C28</f>
        <v>736000</v>
      </c>
      <c r="D32" s="1024">
        <f>'53N'!D24+'53N'!D27</f>
        <v>254110.54200000002</v>
      </c>
      <c r="E32" s="1001">
        <f t="shared" si="1"/>
        <v>-481889.45799999998</v>
      </c>
      <c r="F32" s="1015">
        <f t="shared" si="5"/>
        <v>0.34525888858695652</v>
      </c>
    </row>
    <row r="33" spans="1:6" ht="21" customHeight="1" x14ac:dyDescent="0.25">
      <c r="A33" s="194">
        <v>2</v>
      </c>
      <c r="B33" s="195" t="s">
        <v>359</v>
      </c>
      <c r="C33" s="1001">
        <f>C34+C35</f>
        <v>261000</v>
      </c>
      <c r="D33" s="1001">
        <f>'51N'!D33</f>
        <v>201053.7</v>
      </c>
      <c r="E33" s="1001">
        <f>D33-C33</f>
        <v>-59946.299999999988</v>
      </c>
      <c r="F33" s="1015">
        <f t="shared" si="5"/>
        <v>0.77032068965517242</v>
      </c>
    </row>
    <row r="34" spans="1:6" s="1025" customFormat="1" ht="21" customHeight="1" x14ac:dyDescent="0.25">
      <c r="A34" s="1022" t="s">
        <v>40</v>
      </c>
      <c r="B34" s="1023" t="s">
        <v>353</v>
      </c>
      <c r="C34" s="1024"/>
      <c r="D34" s="1024"/>
      <c r="E34" s="1024"/>
      <c r="F34" s="1015"/>
    </row>
    <row r="35" spans="1:6" s="1025" customFormat="1" ht="21" customHeight="1" x14ac:dyDescent="0.25">
      <c r="A35" s="1022" t="s">
        <v>41</v>
      </c>
      <c r="B35" s="1023" t="s">
        <v>287</v>
      </c>
      <c r="C35" s="1024">
        <f>'51N'!C35</f>
        <v>261000</v>
      </c>
      <c r="D35" s="1024">
        <f>'53N'!D35</f>
        <v>201053.7</v>
      </c>
      <c r="E35" s="1024"/>
      <c r="F35" s="1015">
        <f t="shared" si="5"/>
        <v>0.77032068965517242</v>
      </c>
    </row>
    <row r="36" spans="1:6" s="156" customFormat="1" ht="21" customHeight="1" x14ac:dyDescent="0.2">
      <c r="A36" s="200" t="s">
        <v>19</v>
      </c>
      <c r="B36" s="201" t="s">
        <v>62</v>
      </c>
      <c r="C36" s="1018"/>
      <c r="D36" s="1107">
        <f>'59'!F17</f>
        <v>24187211.725000001</v>
      </c>
      <c r="E36" s="1107">
        <f>D36-C36</f>
        <v>24187211.725000001</v>
      </c>
      <c r="F36" s="1026"/>
    </row>
    <row r="37" spans="1:6" s="156" customFormat="1" ht="21" customHeight="1" x14ac:dyDescent="0.2">
      <c r="A37" s="885" t="s">
        <v>42</v>
      </c>
      <c r="B37" s="205" t="s">
        <v>261</v>
      </c>
      <c r="C37" s="1007"/>
      <c r="D37" s="1007">
        <f>D9-D20</f>
        <v>1746598.9670000374</v>
      </c>
      <c r="E37" s="1007">
        <f>D37-C37</f>
        <v>1746598.9670000374</v>
      </c>
      <c r="F37" s="1008"/>
    </row>
  </sheetData>
  <mergeCells count="8">
    <mergeCell ref="E1:F1"/>
    <mergeCell ref="A3:F3"/>
    <mergeCell ref="A6:A7"/>
    <mergeCell ref="B6:B7"/>
    <mergeCell ref="C6:C7"/>
    <mergeCell ref="D6:D7"/>
    <mergeCell ref="E6:F6"/>
    <mergeCell ref="A4:F4"/>
  </mergeCells>
  <printOptions horizontalCentered="1"/>
  <pageMargins left="0.37" right="0.23" top="0.55118110236220497" bottom="0.55118110236220497" header="0.31496062992126" footer="0.31496062992126"/>
  <pageSetup paperSize="9" scale="87" firstPageNumber="12"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zoomScaleSheetLayoutView="100" workbookViewId="0">
      <pane xSplit="2" ySplit="8" topLeftCell="C9" activePane="bottomRight" state="frozen"/>
      <selection pane="topRight" activeCell="C1" sqref="C1"/>
      <selection pane="bottomLeft" activeCell="A9" sqref="A9"/>
      <selection pane="bottomRight" activeCell="M8" sqref="M8:N14"/>
    </sheetView>
  </sheetViews>
  <sheetFormatPr defaultColWidth="9.140625" defaultRowHeight="15" x14ac:dyDescent="0.25"/>
  <cols>
    <col min="1" max="1" width="6.7109375" style="119" customWidth="1"/>
    <col min="2" max="2" width="30.140625" style="119" customWidth="1"/>
    <col min="3" max="3" width="12.5703125" style="119" customWidth="1"/>
    <col min="4" max="4" width="12.28515625" style="119" customWidth="1"/>
    <col min="5" max="5" width="13.42578125" style="119" customWidth="1"/>
    <col min="6" max="6" width="12.7109375" style="653" customWidth="1"/>
    <col min="7" max="7" width="11.5703125" style="119" customWidth="1"/>
    <col min="8" max="8" width="12.5703125" style="119" customWidth="1"/>
    <col min="9" max="9" width="11.28515625" style="119" customWidth="1"/>
    <col min="10" max="10" width="11.42578125" style="119" customWidth="1"/>
    <col min="11" max="11" width="12" style="119" customWidth="1"/>
    <col min="12" max="12" width="13.28515625" style="119" customWidth="1"/>
    <col min="13" max="13" width="10.85546875" style="119" bestFit="1" customWidth="1"/>
    <col min="14" max="16384" width="9.140625" style="119"/>
  </cols>
  <sheetData>
    <row r="1" spans="1:13" ht="15.75" customHeight="1" x14ac:dyDescent="0.25">
      <c r="A1" s="652" t="str">
        <f>'48N'!A1</f>
        <v>UBND PHƯỜNG ĐỨC XUÂN</v>
      </c>
      <c r="J1" s="1799" t="s">
        <v>408</v>
      </c>
      <c r="K1" s="1799"/>
    </row>
    <row r="2" spans="1:13" ht="14.25" customHeight="1" x14ac:dyDescent="0.25">
      <c r="A2" s="652"/>
      <c r="K2" s="654"/>
    </row>
    <row r="3" spans="1:13" s="655" customFormat="1" ht="36" customHeight="1" x14ac:dyDescent="0.25">
      <c r="A3" s="1786" t="s">
        <v>407</v>
      </c>
      <c r="B3" s="1786"/>
      <c r="C3" s="1786"/>
      <c r="D3" s="1786"/>
      <c r="E3" s="1786"/>
      <c r="F3" s="1786"/>
      <c r="G3" s="1786"/>
      <c r="H3" s="1786"/>
      <c r="I3" s="1786"/>
      <c r="J3" s="1786"/>
      <c r="K3" s="1786"/>
    </row>
    <row r="4" spans="1:13" ht="19.899999999999999" customHeight="1" x14ac:dyDescent="0.25">
      <c r="A4" s="1807" t="str">
        <f>'48N'!A4:F4</f>
        <v>(Kèm theo Tờ trình số    /TTr-KTHT&amp;ĐT ngày      /4/2026 của phòng KTHT&amp;ĐT phường Đức Xuân)</v>
      </c>
      <c r="B4" s="1807"/>
      <c r="C4" s="1807"/>
      <c r="D4" s="1807"/>
      <c r="E4" s="1807"/>
      <c r="F4" s="1807"/>
      <c r="G4" s="1807"/>
      <c r="H4" s="1807"/>
      <c r="I4" s="1807"/>
      <c r="J4" s="1807"/>
      <c r="K4" s="1807"/>
    </row>
    <row r="5" spans="1:13" ht="3" customHeight="1" x14ac:dyDescent="0.25">
      <c r="A5" s="656"/>
      <c r="B5" s="656"/>
      <c r="C5" s="656"/>
      <c r="D5" s="656"/>
      <c r="E5" s="656"/>
      <c r="F5" s="657"/>
      <c r="G5" s="656"/>
      <c r="H5" s="656"/>
      <c r="I5" s="656"/>
      <c r="J5" s="656"/>
      <c r="K5" s="656"/>
    </row>
    <row r="6" spans="1:13" ht="15.75" x14ac:dyDescent="0.25">
      <c r="H6" s="430"/>
      <c r="K6" s="658" t="s">
        <v>427</v>
      </c>
    </row>
    <row r="7" spans="1:13" s="125" customFormat="1" ht="16.5" customHeight="1" x14ac:dyDescent="0.2">
      <c r="A7" s="1789" t="s">
        <v>1</v>
      </c>
      <c r="B7" s="1789" t="s">
        <v>48</v>
      </c>
      <c r="C7" s="1789" t="s">
        <v>412</v>
      </c>
      <c r="D7" s="1790" t="s">
        <v>16</v>
      </c>
      <c r="E7" s="1791"/>
      <c r="F7" s="1791"/>
      <c r="G7" s="1792"/>
      <c r="H7" s="1789" t="s">
        <v>213</v>
      </c>
      <c r="I7" s="1789" t="s">
        <v>214</v>
      </c>
      <c r="J7" s="1789" t="s">
        <v>43</v>
      </c>
      <c r="K7" s="1789"/>
    </row>
    <row r="8" spans="1:13" s="125" customFormat="1" ht="48.6" customHeight="1" x14ac:dyDescent="0.2">
      <c r="A8" s="1789"/>
      <c r="B8" s="1789"/>
      <c r="C8" s="1789"/>
      <c r="D8" s="597" t="s">
        <v>480</v>
      </c>
      <c r="E8" s="597" t="s">
        <v>215</v>
      </c>
      <c r="F8" s="659" t="s">
        <v>481</v>
      </c>
      <c r="G8" s="597" t="s">
        <v>482</v>
      </c>
      <c r="H8" s="1789"/>
      <c r="I8" s="1789"/>
      <c r="J8" s="597" t="s">
        <v>216</v>
      </c>
      <c r="K8" s="597" t="s">
        <v>217</v>
      </c>
    </row>
    <row r="9" spans="1:13" s="125" customFormat="1" ht="20.25" customHeight="1" x14ac:dyDescent="0.2">
      <c r="A9" s="529" t="s">
        <v>4</v>
      </c>
      <c r="B9" s="529" t="s">
        <v>5</v>
      </c>
      <c r="C9" s="529" t="s">
        <v>257</v>
      </c>
      <c r="D9" s="529">
        <v>2</v>
      </c>
      <c r="E9" s="529">
        <v>3</v>
      </c>
      <c r="F9" s="529">
        <v>4</v>
      </c>
      <c r="G9" s="529">
        <v>5</v>
      </c>
      <c r="H9" s="529">
        <v>6</v>
      </c>
      <c r="I9" s="529" t="s">
        <v>258</v>
      </c>
      <c r="J9" s="529">
        <v>8</v>
      </c>
      <c r="K9" s="529">
        <v>9</v>
      </c>
    </row>
    <row r="10" spans="1:13" s="125" customFormat="1" ht="23.25" customHeight="1" x14ac:dyDescent="0.2">
      <c r="A10" s="528"/>
      <c r="B10" s="527" t="s">
        <v>31</v>
      </c>
      <c r="C10" s="660">
        <f>C11+C28</f>
        <v>162354524.29699999</v>
      </c>
      <c r="D10" s="660">
        <f t="shared" ref="D10:K10" si="0">D11+D28</f>
        <v>477201.68</v>
      </c>
      <c r="E10" s="660">
        <f t="shared" si="0"/>
        <v>118350999.96600001</v>
      </c>
      <c r="F10" s="660">
        <f t="shared" si="0"/>
        <v>45111522.457000002</v>
      </c>
      <c r="G10" s="660">
        <f t="shared" si="0"/>
        <v>-1585199.8060000001</v>
      </c>
      <c r="H10" s="660">
        <f t="shared" si="0"/>
        <v>137912348.91400003</v>
      </c>
      <c r="I10" s="660">
        <f t="shared" si="0"/>
        <v>10029455.683000004</v>
      </c>
      <c r="J10" s="660">
        <f t="shared" si="0"/>
        <v>4423848.7860000003</v>
      </c>
      <c r="K10" s="660">
        <f t="shared" si="0"/>
        <v>5605606.8970000064</v>
      </c>
      <c r="M10" s="661"/>
    </row>
    <row r="11" spans="1:13" s="125" customFormat="1" ht="24.75" customHeight="1" x14ac:dyDescent="0.2">
      <c r="A11" s="662" t="s">
        <v>6</v>
      </c>
      <c r="B11" s="663" t="s">
        <v>274</v>
      </c>
      <c r="C11" s="664">
        <f>SUM(C12:C27)</f>
        <v>162061914.29699999</v>
      </c>
      <c r="D11" s="664">
        <f t="shared" ref="D11:K11" si="1">SUM(D12:D27)</f>
        <v>477201.68</v>
      </c>
      <c r="E11" s="664">
        <f>SUM(E12:E27)</f>
        <v>118120999.96600001</v>
      </c>
      <c r="F11" s="664">
        <f t="shared" si="1"/>
        <v>45048912.457000002</v>
      </c>
      <c r="G11" s="664">
        <f t="shared" si="1"/>
        <v>-1585199.8060000001</v>
      </c>
      <c r="H11" s="664">
        <f t="shared" si="1"/>
        <v>137683351.57000002</v>
      </c>
      <c r="I11" s="664">
        <f t="shared" si="1"/>
        <v>9965843.0270000044</v>
      </c>
      <c r="J11" s="664">
        <f t="shared" si="1"/>
        <v>4423848.7860000003</v>
      </c>
      <c r="K11" s="664">
        <f t="shared" si="1"/>
        <v>5541994.241000006</v>
      </c>
      <c r="M11" s="661"/>
    </row>
    <row r="12" spans="1:13" s="125" customFormat="1" ht="24.75" customHeight="1" x14ac:dyDescent="0.2">
      <c r="A12" s="665">
        <v>1</v>
      </c>
      <c r="B12" s="666" t="s">
        <v>409</v>
      </c>
      <c r="C12" s="667">
        <f>D12+E12+F12+G12</f>
        <v>8847741.625</v>
      </c>
      <c r="D12" s="667"/>
      <c r="E12" s="667">
        <v>6113800</v>
      </c>
      <c r="F12" s="668">
        <v>2738941.625</v>
      </c>
      <c r="G12" s="667">
        <v>-5000</v>
      </c>
      <c r="H12" s="667">
        <f>'56N'!D10</f>
        <v>6567114.243999999</v>
      </c>
      <c r="I12" s="668">
        <f>C12-H12</f>
        <v>2280627.381000001</v>
      </c>
      <c r="J12" s="668">
        <v>1770000</v>
      </c>
      <c r="K12" s="668">
        <f t="shared" ref="K12:K19" si="2">I12-J12</f>
        <v>510627.38100000098</v>
      </c>
    </row>
    <row r="13" spans="1:13" s="445" customFormat="1" ht="24.75" customHeight="1" x14ac:dyDescent="0.2">
      <c r="A13" s="669">
        <v>2</v>
      </c>
      <c r="B13" s="670" t="s">
        <v>413</v>
      </c>
      <c r="C13" s="448">
        <f>D13+E13+F13+G13</f>
        <v>15503598.066000002</v>
      </c>
      <c r="D13" s="448">
        <f>1773800-1482000</f>
        <v>291800</v>
      </c>
      <c r="E13" s="448">
        <v>14231961.266000001</v>
      </c>
      <c r="F13" s="477">
        <v>1899836.8</v>
      </c>
      <c r="G13" s="448">
        <v>-920000</v>
      </c>
      <c r="H13" s="667">
        <f>'56N'!D11</f>
        <v>14372622.262000002</v>
      </c>
      <c r="I13" s="668">
        <f t="shared" ref="I13:I25" si="3">C13-H13</f>
        <v>1130975.8039999995</v>
      </c>
      <c r="J13" s="477"/>
      <c r="K13" s="477">
        <f t="shared" si="2"/>
        <v>1130975.8039999995</v>
      </c>
    </row>
    <row r="14" spans="1:13" s="125" customFormat="1" ht="24.75" customHeight="1" x14ac:dyDescent="0.2">
      <c r="A14" s="665">
        <v>3</v>
      </c>
      <c r="B14" s="666" t="s">
        <v>414</v>
      </c>
      <c r="C14" s="667">
        <f t="shared" ref="C14:C25" si="4">D14+E14+F14+G14</f>
        <v>20326614.969999999</v>
      </c>
      <c r="D14" s="667">
        <v>120000</v>
      </c>
      <c r="E14" s="667">
        <v>5140500</v>
      </c>
      <c r="F14" s="668">
        <v>15376352.125</v>
      </c>
      <c r="G14" s="667">
        <v>-310237.15500000003</v>
      </c>
      <c r="H14" s="667">
        <f>'56N'!D12</f>
        <v>19412769.163999997</v>
      </c>
      <c r="I14" s="668">
        <f t="shared" si="3"/>
        <v>913845.80600000173</v>
      </c>
      <c r="J14" s="668">
        <f>6400+116.3+6522.075+11488.508+1500+344000</f>
        <v>370026.88300000003</v>
      </c>
      <c r="K14" s="668">
        <f t="shared" si="2"/>
        <v>543818.9230000017</v>
      </c>
    </row>
    <row r="15" spans="1:13" s="125" customFormat="1" ht="24.75" customHeight="1" x14ac:dyDescent="0.2">
      <c r="A15" s="669">
        <v>4</v>
      </c>
      <c r="B15" s="666" t="s">
        <v>415</v>
      </c>
      <c r="C15" s="667">
        <f t="shared" si="4"/>
        <v>7080259.625</v>
      </c>
      <c r="D15" s="667"/>
      <c r="E15" s="667">
        <v>5008700</v>
      </c>
      <c r="F15" s="668">
        <v>2071559.625</v>
      </c>
      <c r="G15" s="667"/>
      <c r="H15" s="667">
        <f>'56N'!D13</f>
        <v>7047041.8210000005</v>
      </c>
      <c r="I15" s="668">
        <f t="shared" si="3"/>
        <v>33217.803999999538</v>
      </c>
      <c r="J15" s="668"/>
      <c r="K15" s="668">
        <f t="shared" si="2"/>
        <v>33217.803999999538</v>
      </c>
    </row>
    <row r="16" spans="1:13" s="445" customFormat="1" ht="24.75" customHeight="1" x14ac:dyDescent="0.2">
      <c r="A16" s="665">
        <v>5</v>
      </c>
      <c r="B16" s="670" t="s">
        <v>416</v>
      </c>
      <c r="C16" s="448">
        <f t="shared" si="4"/>
        <v>6261161.159</v>
      </c>
      <c r="D16" s="448"/>
      <c r="E16" s="448">
        <v>2862500</v>
      </c>
      <c r="F16" s="477">
        <v>3560858.199</v>
      </c>
      <c r="G16" s="448">
        <v>-162197.04</v>
      </c>
      <c r="H16" s="667">
        <f>'56N'!D14</f>
        <v>6174135.159</v>
      </c>
      <c r="I16" s="668">
        <f t="shared" si="3"/>
        <v>87026</v>
      </c>
      <c r="J16" s="477"/>
      <c r="K16" s="477">
        <f t="shared" si="2"/>
        <v>87026</v>
      </c>
    </row>
    <row r="17" spans="1:13" s="125" customFormat="1" ht="24.75" customHeight="1" x14ac:dyDescent="0.2">
      <c r="A17" s="669">
        <v>6</v>
      </c>
      <c r="B17" s="666" t="s">
        <v>417</v>
      </c>
      <c r="C17" s="667">
        <f t="shared" si="4"/>
        <v>620201.92000000004</v>
      </c>
      <c r="D17" s="667"/>
      <c r="E17" s="667">
        <v>387600</v>
      </c>
      <c r="F17" s="668">
        <v>232601.92</v>
      </c>
      <c r="G17" s="667"/>
      <c r="H17" s="667">
        <f>'56N'!D15</f>
        <v>620201.92000000004</v>
      </c>
      <c r="I17" s="668">
        <f t="shared" si="3"/>
        <v>0</v>
      </c>
      <c r="J17" s="668"/>
      <c r="K17" s="668">
        <f t="shared" si="2"/>
        <v>0</v>
      </c>
      <c r="L17" s="671"/>
      <c r="M17" s="672"/>
    </row>
    <row r="18" spans="1:13" s="445" customFormat="1" ht="24.75" customHeight="1" x14ac:dyDescent="0.2">
      <c r="A18" s="673">
        <v>7</v>
      </c>
      <c r="B18" s="670" t="s">
        <v>418</v>
      </c>
      <c r="C18" s="448">
        <f>D18+E18+F18+G18</f>
        <v>11049544.189000001</v>
      </c>
      <c r="D18" s="448"/>
      <c r="E18" s="448">
        <v>1051900</v>
      </c>
      <c r="F18" s="477">
        <v>10185409.800000001</v>
      </c>
      <c r="G18" s="448">
        <v>-187765.611</v>
      </c>
      <c r="H18" s="667">
        <f>'56N'!D16</f>
        <v>8184592.949</v>
      </c>
      <c r="I18" s="668">
        <f t="shared" si="3"/>
        <v>2864951.2400000012</v>
      </c>
      <c r="J18" s="477">
        <f>11506.093+3057.8+107</f>
        <v>14670.893</v>
      </c>
      <c r="K18" s="477">
        <f t="shared" si="2"/>
        <v>2850280.347000001</v>
      </c>
      <c r="L18" s="674"/>
    </row>
    <row r="19" spans="1:13" s="445" customFormat="1" ht="24.75" customHeight="1" x14ac:dyDescent="0.2">
      <c r="A19" s="669">
        <v>8</v>
      </c>
      <c r="B19" s="670" t="s">
        <v>419</v>
      </c>
      <c r="C19" s="448">
        <f t="shared" si="4"/>
        <v>5464422.4869999997</v>
      </c>
      <c r="D19" s="448">
        <v>12386.88</v>
      </c>
      <c r="E19" s="448">
        <v>5177612</v>
      </c>
      <c r="F19" s="477">
        <v>274423.60700000002</v>
      </c>
      <c r="G19" s="448"/>
      <c r="H19" s="667">
        <f>'56N'!D17</f>
        <v>5442330.4790000003</v>
      </c>
      <c r="I19" s="668">
        <f t="shared" si="3"/>
        <v>22092.007999999449</v>
      </c>
      <c r="J19" s="477"/>
      <c r="K19" s="477">
        <f t="shared" si="2"/>
        <v>22092.007999999449</v>
      </c>
      <c r="L19" s="674"/>
    </row>
    <row r="20" spans="1:13" s="125" customFormat="1" ht="24.75" customHeight="1" x14ac:dyDescent="0.2">
      <c r="A20" s="665">
        <v>9</v>
      </c>
      <c r="B20" s="666" t="s">
        <v>420</v>
      </c>
      <c r="C20" s="667">
        <f t="shared" si="4"/>
        <v>6771238.1529999999</v>
      </c>
      <c r="D20" s="667">
        <v>14025.6</v>
      </c>
      <c r="E20" s="675">
        <v>6282114</v>
      </c>
      <c r="F20" s="668">
        <v>475098.55300000001</v>
      </c>
      <c r="G20" s="667"/>
      <c r="H20" s="667">
        <f>'56N'!D18</f>
        <v>6693944.1449999996</v>
      </c>
      <c r="I20" s="668">
        <f t="shared" si="3"/>
        <v>77294.00800000038</v>
      </c>
      <c r="J20" s="668">
        <v>27900</v>
      </c>
      <c r="K20" s="668">
        <f t="shared" ref="K20:K26" si="5">I20-J20</f>
        <v>49394.00800000038</v>
      </c>
      <c r="L20" s="671"/>
    </row>
    <row r="21" spans="1:13" s="125" customFormat="1" ht="24.75" customHeight="1" x14ac:dyDescent="0.2">
      <c r="A21" s="669">
        <v>10</v>
      </c>
      <c r="B21" s="666" t="s">
        <v>421</v>
      </c>
      <c r="C21" s="667">
        <f t="shared" si="4"/>
        <v>10008695.982000001</v>
      </c>
      <c r="D21" s="667">
        <v>24724.799999999999</v>
      </c>
      <c r="E21" s="667">
        <v>9423402</v>
      </c>
      <c r="F21" s="668">
        <v>560569.18200000003</v>
      </c>
      <c r="G21" s="667"/>
      <c r="H21" s="667">
        <f>'56N'!D19</f>
        <v>9917278.3389999997</v>
      </c>
      <c r="I21" s="668">
        <f t="shared" si="3"/>
        <v>91417.643000001088</v>
      </c>
      <c r="J21" s="668">
        <v>27900</v>
      </c>
      <c r="K21" s="668">
        <f t="shared" si="5"/>
        <v>63517.643000001088</v>
      </c>
      <c r="L21" s="671"/>
    </row>
    <row r="22" spans="1:13" s="445" customFormat="1" ht="24.75" customHeight="1" x14ac:dyDescent="0.2">
      <c r="A22" s="665">
        <v>11</v>
      </c>
      <c r="B22" s="666" t="s">
        <v>422</v>
      </c>
      <c r="C22" s="448">
        <f>D22+E22+F22+G22</f>
        <v>7632955.0889999997</v>
      </c>
      <c r="D22" s="448"/>
      <c r="E22" s="448">
        <v>6816701</v>
      </c>
      <c r="F22" s="477">
        <v>816254.08900000004</v>
      </c>
      <c r="G22" s="448"/>
      <c r="H22" s="667">
        <f>'56N'!D20</f>
        <v>7301898.1569999997</v>
      </c>
      <c r="I22" s="668">
        <f t="shared" si="3"/>
        <v>331056.93200000003</v>
      </c>
      <c r="J22" s="477">
        <f>240096+31831.568</f>
        <v>271927.56799999997</v>
      </c>
      <c r="K22" s="477">
        <f>I22-J22</f>
        <v>59129.36400000006</v>
      </c>
    </row>
    <row r="23" spans="1:13" s="445" customFormat="1" ht="24.75" customHeight="1" x14ac:dyDescent="0.2">
      <c r="A23" s="669">
        <v>12</v>
      </c>
      <c r="B23" s="666" t="s">
        <v>423</v>
      </c>
      <c r="C23" s="448">
        <f t="shared" si="4"/>
        <v>10512995.118999999</v>
      </c>
      <c r="D23" s="448"/>
      <c r="E23" s="448">
        <v>8958247</v>
      </c>
      <c r="F23" s="477">
        <v>1554748.1189999999</v>
      </c>
      <c r="G23" s="448"/>
      <c r="H23" s="667">
        <f>'56N'!D21</f>
        <v>9909896.0010000002</v>
      </c>
      <c r="I23" s="668">
        <f t="shared" si="3"/>
        <v>603099.11799999885</v>
      </c>
      <c r="J23" s="477">
        <f>465.014+1660.904+583220</f>
        <v>585345.91799999995</v>
      </c>
      <c r="K23" s="477">
        <f t="shared" si="5"/>
        <v>17753.199999998906</v>
      </c>
    </row>
    <row r="24" spans="1:13" s="445" customFormat="1" ht="24.75" customHeight="1" x14ac:dyDescent="0.2">
      <c r="A24" s="665">
        <v>13</v>
      </c>
      <c r="B24" s="666" t="s">
        <v>424</v>
      </c>
      <c r="C24" s="447">
        <f t="shared" si="4"/>
        <v>15573664.778000001</v>
      </c>
      <c r="D24" s="447"/>
      <c r="E24" s="447">
        <v>13839588</v>
      </c>
      <c r="F24" s="477">
        <v>1734076.7779999999</v>
      </c>
      <c r="G24" s="447"/>
      <c r="H24" s="667">
        <f>'56N'!D22</f>
        <v>15017929.405999999</v>
      </c>
      <c r="I24" s="668">
        <f t="shared" si="3"/>
        <v>555735.37200000137</v>
      </c>
      <c r="J24" s="477">
        <f>30166.172+2294.4+474296</f>
        <v>506756.57199999999</v>
      </c>
      <c r="K24" s="477">
        <f t="shared" si="5"/>
        <v>48978.800000001385</v>
      </c>
    </row>
    <row r="25" spans="1:13" s="676" customFormat="1" ht="24.75" customHeight="1" x14ac:dyDescent="0.25">
      <c r="A25" s="669">
        <v>14</v>
      </c>
      <c r="B25" s="666" t="s">
        <v>388</v>
      </c>
      <c r="C25" s="446">
        <f t="shared" si="4"/>
        <v>10991692.799000001</v>
      </c>
      <c r="D25" s="446">
        <v>11079.4</v>
      </c>
      <c r="E25" s="446">
        <v>9048430</v>
      </c>
      <c r="F25" s="477">
        <v>1932183.399</v>
      </c>
      <c r="G25" s="446"/>
      <c r="H25" s="667">
        <f>'56N'!D23</f>
        <v>10340829.84</v>
      </c>
      <c r="I25" s="668">
        <f t="shared" si="3"/>
        <v>650862.95900000073</v>
      </c>
      <c r="J25" s="477">
        <v>570400</v>
      </c>
      <c r="K25" s="477">
        <f t="shared" si="5"/>
        <v>80462.95900000073</v>
      </c>
    </row>
    <row r="26" spans="1:13" s="678" customFormat="1" ht="24.75" customHeight="1" x14ac:dyDescent="0.25">
      <c r="A26" s="665">
        <v>15</v>
      </c>
      <c r="B26" s="666" t="s">
        <v>387</v>
      </c>
      <c r="C26" s="107">
        <f>D26+E26+F26+G26</f>
        <v>11004408.636</v>
      </c>
      <c r="D26" s="107">
        <v>3185</v>
      </c>
      <c r="E26" s="107">
        <v>9365225</v>
      </c>
      <c r="F26" s="477">
        <v>1635998.6359999999</v>
      </c>
      <c r="G26" s="107"/>
      <c r="H26" s="667">
        <f>'56N'!D24</f>
        <v>10680767.684</v>
      </c>
      <c r="I26" s="668">
        <f>C26-H26</f>
        <v>323640.95199999958</v>
      </c>
      <c r="J26" s="677">
        <f>2808+255392+20720.952</f>
        <v>278920.95199999999</v>
      </c>
      <c r="K26" s="668">
        <f t="shared" si="5"/>
        <v>44719.999999999593</v>
      </c>
    </row>
    <row r="27" spans="1:13" s="678" customFormat="1" ht="24.75" customHeight="1" x14ac:dyDescent="0.25">
      <c r="A27" s="665">
        <v>16</v>
      </c>
      <c r="B27" s="666" t="s">
        <v>428</v>
      </c>
      <c r="C27" s="107">
        <f>D27+E27+F27+G27</f>
        <v>14412719.699999999</v>
      </c>
      <c r="D27" s="107"/>
      <c r="E27" s="107">
        <f>11385219.7+90000+2937500</f>
        <v>14412719.699999999</v>
      </c>
      <c r="F27" s="477"/>
      <c r="G27" s="107"/>
      <c r="H27" s="667"/>
      <c r="I27" s="668"/>
      <c r="J27" s="677">
        <v>0</v>
      </c>
      <c r="K27" s="668">
        <f t="shared" ref="K27" si="6">I27-J27</f>
        <v>0</v>
      </c>
    </row>
    <row r="28" spans="1:13" s="125" customFormat="1" ht="22.5" customHeight="1" x14ac:dyDescent="0.2">
      <c r="A28" s="662" t="s">
        <v>12</v>
      </c>
      <c r="B28" s="679" t="s">
        <v>276</v>
      </c>
      <c r="C28" s="664">
        <f>SUM(C29:C30)</f>
        <v>292610</v>
      </c>
      <c r="D28" s="664"/>
      <c r="E28" s="664">
        <f>SUM(E29:E30)</f>
        <v>230000</v>
      </c>
      <c r="F28" s="664">
        <f>SUM(F29:F30)</f>
        <v>62610</v>
      </c>
      <c r="G28" s="664"/>
      <c r="H28" s="664">
        <f>SUM(H29:H30)</f>
        <v>228997.34400000001</v>
      </c>
      <c r="I28" s="664">
        <f>SUM(I29:I30)</f>
        <v>63612.655999999988</v>
      </c>
      <c r="J28" s="664">
        <f>SUM(J29:J30)</f>
        <v>0</v>
      </c>
      <c r="K28" s="664">
        <f>SUM(K29:K30)</f>
        <v>63612.655999999988</v>
      </c>
    </row>
    <row r="29" spans="1:13" s="125" customFormat="1" ht="23.25" customHeight="1" x14ac:dyDescent="0.2">
      <c r="A29" s="680">
        <v>1</v>
      </c>
      <c r="B29" s="681" t="s">
        <v>425</v>
      </c>
      <c r="C29" s="117">
        <f>D29+E29+F29+G29</f>
        <v>257610</v>
      </c>
      <c r="D29" s="117"/>
      <c r="E29" s="117">
        <v>230000</v>
      </c>
      <c r="F29" s="682">
        <v>27610</v>
      </c>
      <c r="G29" s="117"/>
      <c r="H29" s="117">
        <f>'56N'!D27</f>
        <v>193997.34400000001</v>
      </c>
      <c r="I29" s="682">
        <f>C29-H29</f>
        <v>63612.655999999988</v>
      </c>
      <c r="J29" s="117"/>
      <c r="K29" s="117">
        <f>I29-J29</f>
        <v>63612.655999999988</v>
      </c>
    </row>
    <row r="30" spans="1:13" s="125" customFormat="1" ht="30.75" customHeight="1" x14ac:dyDescent="0.2">
      <c r="A30" s="683">
        <v>2</v>
      </c>
      <c r="B30" s="684" t="s">
        <v>426</v>
      </c>
      <c r="C30" s="685">
        <f t="shared" ref="C30" si="7">D30+E30+F30+G30</f>
        <v>35000</v>
      </c>
      <c r="D30" s="685"/>
      <c r="E30" s="685"/>
      <c r="F30" s="686">
        <v>35000</v>
      </c>
      <c r="G30" s="685"/>
      <c r="H30" s="685">
        <f>'56N'!D28</f>
        <v>35000</v>
      </c>
      <c r="I30" s="686"/>
      <c r="J30" s="685"/>
      <c r="K30" s="685">
        <f t="shared" ref="K30" si="8">I30-J30</f>
        <v>0</v>
      </c>
    </row>
    <row r="31" spans="1:13" ht="24" customHeight="1" x14ac:dyDescent="0.25"/>
    <row r="32" spans="1:13" ht="18" customHeight="1" x14ac:dyDescent="0.25"/>
    <row r="33" ht="19.5" customHeight="1" x14ac:dyDescent="0.25"/>
    <row r="34" ht="20.25" customHeight="1" x14ac:dyDescent="0.25"/>
    <row r="35" ht="15.75" customHeight="1" x14ac:dyDescent="0.25"/>
  </sheetData>
  <mergeCells count="10">
    <mergeCell ref="J1:K1"/>
    <mergeCell ref="A3:K3"/>
    <mergeCell ref="A7:A8"/>
    <mergeCell ref="B7:B8"/>
    <mergeCell ref="C7:C8"/>
    <mergeCell ref="H7:H8"/>
    <mergeCell ref="I7:I8"/>
    <mergeCell ref="J7:K7"/>
    <mergeCell ref="D7:G7"/>
    <mergeCell ref="A4:K4"/>
  </mergeCells>
  <printOptions horizontalCentered="1"/>
  <pageMargins left="0.23622047244094499" right="0.16" top="0.55118110236220497" bottom="0.47244094488188998" header="0.31496062992126" footer="0.31496062992126"/>
  <pageSetup paperSize="9" scale="94" firstPageNumber="26" orientation="landscape"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8"/>
  <sheetViews>
    <sheetView zoomScaleNormal="100" zoomScaleSheetLayoutView="100" workbookViewId="0">
      <selection activeCell="H11" sqref="H11"/>
    </sheetView>
  </sheetViews>
  <sheetFormatPr defaultColWidth="9.140625" defaultRowHeight="15" x14ac:dyDescent="0.25"/>
  <cols>
    <col min="1" max="1" width="4.140625" style="428" customWidth="1"/>
    <col min="2" max="2" width="17.7109375" style="428" customWidth="1"/>
    <col min="3" max="3" width="11.7109375" style="428" customWidth="1"/>
    <col min="4" max="4" width="10.85546875" style="428" customWidth="1"/>
    <col min="5" max="5" width="11.140625" style="428" customWidth="1"/>
    <col min="6" max="6" width="9.140625" style="428" customWidth="1"/>
    <col min="7" max="7" width="9.5703125" style="428" customWidth="1"/>
    <col min="8" max="8" width="11.85546875" style="428" customWidth="1"/>
    <col min="9" max="10" width="12.140625" style="428" customWidth="1"/>
    <col min="11" max="11" width="12.5703125" style="428" customWidth="1"/>
    <col min="12" max="12" width="11.28515625" style="428" customWidth="1"/>
    <col min="13" max="13" width="10.28515625" style="428" customWidth="1"/>
    <col min="14" max="14" width="9.140625" style="428" customWidth="1"/>
    <col min="15" max="15" width="10.140625" style="428" customWidth="1"/>
    <col min="16" max="16" width="11.28515625" style="428" customWidth="1"/>
    <col min="17" max="18" width="8.7109375" style="428" customWidth="1"/>
    <col min="19" max="19" width="7" style="428" customWidth="1"/>
    <col min="20" max="20" width="6.7109375" style="428" customWidth="1"/>
    <col min="21" max="21" width="7.85546875" style="428" customWidth="1"/>
    <col min="22" max="22" width="7.140625" style="428" customWidth="1"/>
    <col min="23" max="16384" width="9.140625" style="428"/>
  </cols>
  <sheetData>
    <row r="1" spans="1:22" s="691" customFormat="1" ht="23.25" customHeight="1" x14ac:dyDescent="0.25">
      <c r="A1" s="690" t="str">
        <f>'48N'!A1</f>
        <v>UBND PHƯỜNG ĐỨC XUÂN</v>
      </c>
      <c r="T1" s="1808" t="s">
        <v>511</v>
      </c>
      <c r="U1" s="1808"/>
      <c r="V1" s="1808"/>
    </row>
    <row r="2" spans="1:22" ht="23.25" customHeight="1" x14ac:dyDescent="0.25">
      <c r="A2" s="1811" t="s">
        <v>483</v>
      </c>
      <c r="B2" s="1811"/>
      <c r="C2" s="1811"/>
      <c r="D2" s="1811"/>
      <c r="E2" s="1811"/>
      <c r="F2" s="1811"/>
      <c r="G2" s="1811"/>
      <c r="H2" s="1811"/>
      <c r="I2" s="1811"/>
      <c r="J2" s="1811"/>
      <c r="K2" s="1811"/>
      <c r="L2" s="1811"/>
      <c r="M2" s="1811"/>
      <c r="N2" s="1811"/>
      <c r="O2" s="1811"/>
      <c r="P2" s="1811"/>
      <c r="Q2" s="1811"/>
      <c r="R2" s="1811"/>
      <c r="S2" s="1811"/>
      <c r="T2" s="1811"/>
      <c r="U2" s="1811"/>
      <c r="V2" s="1811"/>
    </row>
    <row r="3" spans="1:22" ht="17.2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row>
    <row r="4" spans="1:22" ht="24.75" customHeight="1" x14ac:dyDescent="0.25">
      <c r="V4" s="544" t="s">
        <v>427</v>
      </c>
    </row>
    <row r="5" spans="1:22" s="445" customFormat="1" ht="18" customHeight="1" x14ac:dyDescent="0.2">
      <c r="A5" s="1798" t="s">
        <v>1</v>
      </c>
      <c r="B5" s="1798" t="s">
        <v>218</v>
      </c>
      <c r="C5" s="1798" t="s">
        <v>279</v>
      </c>
      <c r="D5" s="1798"/>
      <c r="E5" s="1798"/>
      <c r="F5" s="1798"/>
      <c r="G5" s="1798"/>
      <c r="H5" s="1798" t="s">
        <v>169</v>
      </c>
      <c r="I5" s="1798"/>
      <c r="J5" s="1798"/>
      <c r="K5" s="1798"/>
      <c r="L5" s="1798"/>
      <c r="M5" s="1798"/>
      <c r="N5" s="1798"/>
      <c r="O5" s="1798"/>
      <c r="P5" s="1798"/>
      <c r="Q5" s="1812"/>
      <c r="R5" s="1798"/>
      <c r="S5" s="1798" t="s">
        <v>183</v>
      </c>
      <c r="T5" s="1798"/>
      <c r="U5" s="1798"/>
      <c r="V5" s="1798"/>
    </row>
    <row r="6" spans="1:22" s="569" customFormat="1" ht="27" customHeight="1" x14ac:dyDescent="0.2">
      <c r="A6" s="1798"/>
      <c r="B6" s="1798"/>
      <c r="C6" s="1798" t="s">
        <v>15</v>
      </c>
      <c r="D6" s="1798" t="s">
        <v>29</v>
      </c>
      <c r="E6" s="1805" t="s">
        <v>30</v>
      </c>
      <c r="F6" s="1798" t="s">
        <v>278</v>
      </c>
      <c r="G6" s="1798" t="s">
        <v>151</v>
      </c>
      <c r="H6" s="1798" t="s">
        <v>15</v>
      </c>
      <c r="I6" s="1810" t="s">
        <v>29</v>
      </c>
      <c r="J6" s="1810"/>
      <c r="K6" s="1810" t="s">
        <v>30</v>
      </c>
      <c r="L6" s="1810"/>
      <c r="M6" s="1810" t="s">
        <v>219</v>
      </c>
      <c r="N6" s="1810"/>
      <c r="O6" s="1810"/>
      <c r="P6" s="1798" t="s">
        <v>62</v>
      </c>
      <c r="Q6" s="1798" t="s">
        <v>510</v>
      </c>
      <c r="R6" s="1798" t="s">
        <v>256</v>
      </c>
      <c r="S6" s="1798" t="s">
        <v>15</v>
      </c>
      <c r="T6" s="1798" t="s">
        <v>29</v>
      </c>
      <c r="U6" s="1805" t="s">
        <v>30</v>
      </c>
      <c r="V6" s="1798" t="s">
        <v>278</v>
      </c>
    </row>
    <row r="7" spans="1:22" s="569" customFormat="1" ht="29.25" customHeight="1" x14ac:dyDescent="0.2">
      <c r="A7" s="1798"/>
      <c r="B7" s="1798"/>
      <c r="C7" s="1798"/>
      <c r="D7" s="1798"/>
      <c r="E7" s="1809"/>
      <c r="F7" s="1798"/>
      <c r="G7" s="1798"/>
      <c r="H7" s="1798"/>
      <c r="I7" s="1798" t="s">
        <v>15</v>
      </c>
      <c r="J7" s="687" t="s">
        <v>43</v>
      </c>
      <c r="K7" s="1798" t="s">
        <v>15</v>
      </c>
      <c r="L7" s="687" t="s">
        <v>43</v>
      </c>
      <c r="M7" s="1798" t="s">
        <v>15</v>
      </c>
      <c r="N7" s="1810" t="s">
        <v>43</v>
      </c>
      <c r="O7" s="1810"/>
      <c r="P7" s="1798"/>
      <c r="Q7" s="1798"/>
      <c r="R7" s="1798"/>
      <c r="S7" s="1798"/>
      <c r="T7" s="1798"/>
      <c r="U7" s="1809"/>
      <c r="V7" s="1798"/>
    </row>
    <row r="8" spans="1:22" s="445" customFormat="1" ht="78" customHeight="1" x14ac:dyDescent="0.2">
      <c r="A8" s="1798"/>
      <c r="B8" s="1798"/>
      <c r="C8" s="1798"/>
      <c r="D8" s="1798"/>
      <c r="E8" s="1806"/>
      <c r="F8" s="1798"/>
      <c r="G8" s="1798"/>
      <c r="H8" s="1798"/>
      <c r="I8" s="1798"/>
      <c r="J8" s="545" t="s">
        <v>220</v>
      </c>
      <c r="K8" s="1798"/>
      <c r="L8" s="545" t="s">
        <v>220</v>
      </c>
      <c r="M8" s="1798"/>
      <c r="N8" s="626" t="s">
        <v>29</v>
      </c>
      <c r="O8" s="626" t="s">
        <v>30</v>
      </c>
      <c r="P8" s="1798"/>
      <c r="Q8" s="1798"/>
      <c r="R8" s="1798"/>
      <c r="S8" s="1798"/>
      <c r="T8" s="1798"/>
      <c r="U8" s="1806"/>
      <c r="V8" s="1798"/>
    </row>
    <row r="9" spans="1:22" s="445" customFormat="1" ht="16.5" customHeight="1" x14ac:dyDescent="0.2">
      <c r="A9" s="688" t="s">
        <v>4</v>
      </c>
      <c r="B9" s="688" t="s">
        <v>5</v>
      </c>
      <c r="C9" s="688">
        <v>1</v>
      </c>
      <c r="D9" s="688">
        <v>2</v>
      </c>
      <c r="E9" s="688">
        <v>3</v>
      </c>
      <c r="F9" s="688">
        <v>4</v>
      </c>
      <c r="G9" s="688">
        <v>4</v>
      </c>
      <c r="H9" s="688">
        <v>5</v>
      </c>
      <c r="I9" s="688">
        <v>6</v>
      </c>
      <c r="J9" s="688">
        <v>7</v>
      </c>
      <c r="K9" s="688">
        <v>8</v>
      </c>
      <c r="L9" s="688">
        <v>9</v>
      </c>
      <c r="M9" s="688">
        <v>10</v>
      </c>
      <c r="N9" s="688">
        <v>11</v>
      </c>
      <c r="O9" s="688">
        <v>12</v>
      </c>
      <c r="P9" s="688">
        <v>13</v>
      </c>
      <c r="Q9" s="688">
        <v>14</v>
      </c>
      <c r="R9" s="688">
        <v>15</v>
      </c>
      <c r="S9" s="689" t="s">
        <v>506</v>
      </c>
      <c r="T9" s="689" t="s">
        <v>507</v>
      </c>
      <c r="U9" s="689" t="s">
        <v>508</v>
      </c>
      <c r="V9" s="689" t="s">
        <v>509</v>
      </c>
    </row>
    <row r="10" spans="1:22" s="745" customFormat="1" ht="30.75" customHeight="1" x14ac:dyDescent="0.2">
      <c r="A10" s="771"/>
      <c r="B10" s="626" t="s">
        <v>31</v>
      </c>
      <c r="C10" s="793">
        <f t="shared" ref="C10:R10" si="0">SUM(C11:C11)</f>
        <v>131541000</v>
      </c>
      <c r="D10" s="793">
        <f t="shared" si="0"/>
        <v>12468000</v>
      </c>
      <c r="E10" s="793">
        <f t="shared" si="0"/>
        <v>115363000</v>
      </c>
      <c r="F10" s="793">
        <f t="shared" si="0"/>
        <v>736000</v>
      </c>
      <c r="G10" s="793">
        <f t="shared" si="0"/>
        <v>2974000</v>
      </c>
      <c r="H10" s="793">
        <f t="shared" si="0"/>
        <v>178645584.73700002</v>
      </c>
      <c r="I10" s="793">
        <f t="shared" si="0"/>
        <v>16331047.693</v>
      </c>
      <c r="J10" s="793">
        <f t="shared" si="0"/>
        <v>11740943.977</v>
      </c>
      <c r="K10" s="793">
        <f t="shared" si="0"/>
        <v>137658238.37200004</v>
      </c>
      <c r="L10" s="793">
        <f t="shared" si="0"/>
        <v>75608229.204999998</v>
      </c>
      <c r="M10" s="793">
        <f t="shared" si="0"/>
        <v>315075.43700000003</v>
      </c>
      <c r="N10" s="793">
        <f t="shared" si="0"/>
        <v>60964.894999999997</v>
      </c>
      <c r="O10" s="793">
        <f t="shared" si="0"/>
        <v>254110.54200000002</v>
      </c>
      <c r="P10" s="793">
        <f t="shared" si="0"/>
        <v>24187211.725000001</v>
      </c>
      <c r="Q10" s="793">
        <f t="shared" si="0"/>
        <v>50000</v>
      </c>
      <c r="R10" s="793">
        <f t="shared" si="0"/>
        <v>104011.51</v>
      </c>
      <c r="S10" s="720">
        <f>H10/C10</f>
        <v>1.3580981194988637</v>
      </c>
      <c r="T10" s="772"/>
      <c r="U10" s="720">
        <f>K10/E10</f>
        <v>1.1932616035644015</v>
      </c>
      <c r="V10" s="720">
        <f>M10/F10</f>
        <v>0.42809162635869569</v>
      </c>
    </row>
    <row r="11" spans="1:22" s="445" customFormat="1" ht="35.25" customHeight="1" x14ac:dyDescent="0.2">
      <c r="A11" s="688">
        <v>1</v>
      </c>
      <c r="B11" s="773" t="s">
        <v>277</v>
      </c>
      <c r="C11" s="794">
        <f>SUM(D11:G11)</f>
        <v>131541000</v>
      </c>
      <c r="D11" s="794">
        <v>12468000</v>
      </c>
      <c r="E11" s="794">
        <f>115102000+261000</f>
        <v>115363000</v>
      </c>
      <c r="F11" s="794">
        <v>736000</v>
      </c>
      <c r="G11" s="794">
        <v>2974000</v>
      </c>
      <c r="H11" s="794">
        <f>I11+K11+M11+P11+Q11+R11</f>
        <v>178645584.73700002</v>
      </c>
      <c r="I11" s="794">
        <f>'55N'!D9-N11</f>
        <v>16331047.693</v>
      </c>
      <c r="J11" s="794">
        <f>'55N'!E9</f>
        <v>11740943.977</v>
      </c>
      <c r="K11" s="794">
        <f>'56N'!D8-O11</f>
        <v>137658238.37200004</v>
      </c>
      <c r="L11" s="794">
        <f>'56N'!E8</f>
        <v>75608229.204999998</v>
      </c>
      <c r="M11" s="794">
        <f>SUM(N11:O11)</f>
        <v>315075.43700000003</v>
      </c>
      <c r="N11" s="794">
        <v>60964.894999999997</v>
      </c>
      <c r="O11" s="794">
        <f>'64'!H12</f>
        <v>254110.54200000002</v>
      </c>
      <c r="P11" s="794">
        <f>374587.731+11027848.786+12784775.208</f>
        <v>24187211.725000001</v>
      </c>
      <c r="Q11" s="794">
        <v>50000</v>
      </c>
      <c r="R11" s="794">
        <v>104011.51</v>
      </c>
      <c r="S11" s="726">
        <f>H11/C11</f>
        <v>1.3580981194988637</v>
      </c>
      <c r="T11" s="774"/>
      <c r="U11" s="726">
        <f>K11/E11</f>
        <v>1.1932616035644015</v>
      </c>
      <c r="V11" s="726">
        <f>M11/F11</f>
        <v>0.42809162635869569</v>
      </c>
    </row>
    <row r="12" spans="1:22" x14ac:dyDescent="0.25">
      <c r="K12" s="535"/>
    </row>
    <row r="13" spans="1:22" x14ac:dyDescent="0.25">
      <c r="H13" s="535"/>
      <c r="K13" s="535"/>
    </row>
    <row r="14" spans="1:22" x14ac:dyDescent="0.25">
      <c r="I14" s="535"/>
    </row>
    <row r="15" spans="1:22" x14ac:dyDescent="0.25">
      <c r="I15" s="449"/>
    </row>
    <row r="18" spans="9:9" x14ac:dyDescent="0.25">
      <c r="I18" s="535"/>
    </row>
  </sheetData>
  <mergeCells count="28">
    <mergeCell ref="F6:F8"/>
    <mergeCell ref="A2:V2"/>
    <mergeCell ref="A5:A8"/>
    <mergeCell ref="B5:B8"/>
    <mergeCell ref="C5:G5"/>
    <mergeCell ref="H5:R5"/>
    <mergeCell ref="S5:V5"/>
    <mergeCell ref="C6:C8"/>
    <mergeCell ref="D6:D8"/>
    <mergeCell ref="G6:G8"/>
    <mergeCell ref="H6:H8"/>
    <mergeCell ref="I6:J6"/>
    <mergeCell ref="T6:T8"/>
    <mergeCell ref="V6:V8"/>
    <mergeCell ref="E6:E8"/>
    <mergeCell ref="A3:V3"/>
    <mergeCell ref="T1:V1"/>
    <mergeCell ref="I7:I8"/>
    <mergeCell ref="U6:U8"/>
    <mergeCell ref="K7:K8"/>
    <mergeCell ref="M7:M8"/>
    <mergeCell ref="N7:O7"/>
    <mergeCell ref="S6:S8"/>
    <mergeCell ref="K6:L6"/>
    <mergeCell ref="M6:O6"/>
    <mergeCell ref="R6:R8"/>
    <mergeCell ref="P6:P8"/>
    <mergeCell ref="Q6:Q8"/>
  </mergeCells>
  <printOptions horizontalCentered="1"/>
  <pageMargins left="0.24" right="0.16" top="0.61" bottom="0.78740157480314998" header="0.31496062992126" footer="0.31496062992126"/>
  <pageSetup paperSize="9" scale="65" firstPageNumber="29" orientation="landscape" useFirstPageNumber="1"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zoomScale="80" zoomScaleNormal="80" zoomScaleSheetLayoutView="100" zoomScalePageLayoutView="85" workbookViewId="0">
      <selection activeCell="AB13" sqref="AB13"/>
    </sheetView>
  </sheetViews>
  <sheetFormatPr defaultColWidth="8.85546875" defaultRowHeight="15" x14ac:dyDescent="0.25"/>
  <cols>
    <col min="1" max="1" width="3" style="363" customWidth="1"/>
    <col min="2" max="2" width="17.28515625" style="363" customWidth="1"/>
    <col min="3" max="3" width="13" style="363" customWidth="1"/>
    <col min="4" max="4" width="12.5703125" style="363" customWidth="1"/>
    <col min="5" max="5" width="11.42578125" style="363" customWidth="1"/>
    <col min="6" max="6" width="6.140625" style="363" customWidth="1"/>
    <col min="7" max="7" width="12.140625" style="363" customWidth="1"/>
    <col min="8" max="8" width="6.42578125" style="363" customWidth="1"/>
    <col min="9" max="9" width="9.5703125" style="363" customWidth="1"/>
    <col min="10" max="10" width="10.140625" style="363" customWidth="1"/>
    <col min="11" max="11" width="11.140625" style="363" customWidth="1"/>
    <col min="12" max="12" width="8.42578125" style="363" customWidth="1"/>
    <col min="13" max="13" width="7.85546875" style="363" customWidth="1"/>
    <col min="14" max="14" width="5.85546875" style="363" customWidth="1"/>
    <col min="15" max="15" width="8.140625" style="363" customWidth="1"/>
    <col min="16" max="16" width="8.5703125" style="363" customWidth="1"/>
    <col min="17" max="18" width="9.140625" style="363" customWidth="1"/>
    <col min="19" max="19" width="6.5703125" style="363" customWidth="1"/>
    <col min="20" max="20" width="6" style="363" customWidth="1"/>
    <col min="21" max="21" width="8.42578125" style="363" customWidth="1"/>
    <col min="22" max="22" width="6.42578125" style="363" customWidth="1"/>
    <col min="23" max="23" width="7.28515625" style="363" customWidth="1"/>
    <col min="24" max="24" width="6.42578125" style="363" customWidth="1"/>
    <col min="25" max="25" width="7.5703125" style="363" customWidth="1"/>
    <col min="26" max="26" width="7" style="363" customWidth="1"/>
    <col min="27" max="27" width="8.85546875" style="363"/>
    <col min="28" max="28" width="13.85546875" style="363" bestFit="1" customWidth="1"/>
    <col min="29" max="16384" width="8.85546875" style="363"/>
  </cols>
  <sheetData>
    <row r="1" spans="1:29" s="799" customFormat="1" ht="27.75" customHeight="1" x14ac:dyDescent="0.25">
      <c r="A1" s="690" t="str">
        <f>'48N'!A1</f>
        <v>UBND PHƯỜNG ĐỨC XUÂN</v>
      </c>
      <c r="W1" s="1808" t="s">
        <v>512</v>
      </c>
      <c r="X1" s="1808"/>
      <c r="Y1" s="1808"/>
      <c r="Z1" s="1808"/>
    </row>
    <row r="2" spans="1:29" ht="29.25" customHeight="1" x14ac:dyDescent="0.25">
      <c r="A2" s="1811" t="s">
        <v>532</v>
      </c>
      <c r="B2" s="1811"/>
      <c r="C2" s="1811"/>
      <c r="D2" s="1811"/>
      <c r="E2" s="1811"/>
      <c r="F2" s="1811"/>
      <c r="G2" s="1811"/>
      <c r="H2" s="1811"/>
      <c r="I2" s="1811"/>
      <c r="J2" s="1811"/>
      <c r="K2" s="1811"/>
      <c r="L2" s="1811"/>
      <c r="M2" s="1811"/>
      <c r="N2" s="1811"/>
      <c r="O2" s="1811"/>
      <c r="P2" s="1811"/>
      <c r="Q2" s="1811"/>
      <c r="R2" s="1811"/>
      <c r="S2" s="1811"/>
      <c r="T2" s="1811"/>
      <c r="U2" s="1811"/>
      <c r="V2" s="1811"/>
      <c r="W2" s="1811"/>
      <c r="X2" s="1811"/>
      <c r="Y2" s="1811"/>
      <c r="Z2" s="1811"/>
    </row>
    <row r="3" spans="1:29" ht="26.25" customHeight="1" x14ac:dyDescent="0.25">
      <c r="A3" s="1815" t="str">
        <f>'48N'!A4:F4</f>
        <v>(Kèm theo Tờ trình số    /TTr-KTHT&amp;ĐT ngày      /4/2026 của phòng KTHT&amp;ĐT phường Đức Xuân)</v>
      </c>
      <c r="B3" s="1815"/>
      <c r="C3" s="1815"/>
      <c r="D3" s="1815"/>
      <c r="E3" s="1815"/>
      <c r="F3" s="1815"/>
      <c r="G3" s="1815"/>
      <c r="H3" s="1815"/>
      <c r="I3" s="1815"/>
      <c r="J3" s="1815"/>
      <c r="K3" s="1815"/>
      <c r="L3" s="1815"/>
      <c r="M3" s="1815"/>
      <c r="N3" s="1815"/>
      <c r="O3" s="1815"/>
      <c r="P3" s="1815"/>
      <c r="Q3" s="1815"/>
      <c r="R3" s="1815"/>
      <c r="S3" s="1815"/>
      <c r="T3" s="1815"/>
      <c r="U3" s="1815"/>
      <c r="V3" s="1815"/>
      <c r="W3" s="1815"/>
      <c r="X3" s="1815"/>
      <c r="Y3" s="1815"/>
      <c r="Z3" s="1815"/>
    </row>
    <row r="4" spans="1:29" ht="29.25" customHeight="1" x14ac:dyDescent="0.25">
      <c r="P4" s="692"/>
      <c r="Q4" s="692"/>
      <c r="R4" s="692"/>
      <c r="Z4" s="544" t="s">
        <v>427</v>
      </c>
    </row>
    <row r="5" spans="1:29" s="800" customFormat="1" ht="27" customHeight="1" x14ac:dyDescent="0.2">
      <c r="A5" s="1810" t="s">
        <v>1</v>
      </c>
      <c r="B5" s="1810" t="s">
        <v>218</v>
      </c>
      <c r="C5" s="1816" t="s">
        <v>339</v>
      </c>
      <c r="D5" s="1816"/>
      <c r="E5" s="1816"/>
      <c r="F5" s="1816"/>
      <c r="G5" s="1816"/>
      <c r="H5" s="1816"/>
      <c r="I5" s="1816"/>
      <c r="J5" s="1816"/>
      <c r="K5" s="1816" t="s">
        <v>169</v>
      </c>
      <c r="L5" s="1816"/>
      <c r="M5" s="1816"/>
      <c r="N5" s="1816"/>
      <c r="O5" s="1816"/>
      <c r="P5" s="1816"/>
      <c r="Q5" s="1816"/>
      <c r="R5" s="1816"/>
      <c r="S5" s="1810" t="s">
        <v>221</v>
      </c>
      <c r="T5" s="1810"/>
      <c r="U5" s="1810"/>
      <c r="V5" s="1810"/>
      <c r="W5" s="1810"/>
      <c r="X5" s="1810"/>
      <c r="Y5" s="1810"/>
      <c r="Z5" s="1810"/>
    </row>
    <row r="6" spans="1:29" s="800" customFormat="1" ht="27" customHeight="1" x14ac:dyDescent="0.2">
      <c r="A6" s="1810"/>
      <c r="B6" s="1810"/>
      <c r="C6" s="1816" t="s">
        <v>15</v>
      </c>
      <c r="D6" s="1816" t="s">
        <v>186</v>
      </c>
      <c r="E6" s="1816" t="s">
        <v>101</v>
      </c>
      <c r="F6" s="1816"/>
      <c r="G6" s="1816"/>
      <c r="H6" s="1816"/>
      <c r="I6" s="1816"/>
      <c r="J6" s="1816"/>
      <c r="K6" s="1816" t="s">
        <v>15</v>
      </c>
      <c r="L6" s="1816" t="s">
        <v>186</v>
      </c>
      <c r="M6" s="1816" t="s">
        <v>101</v>
      </c>
      <c r="N6" s="1816"/>
      <c r="O6" s="1816"/>
      <c r="P6" s="1816"/>
      <c r="Q6" s="1816"/>
      <c r="R6" s="1816"/>
      <c r="S6" s="1810" t="s">
        <v>15</v>
      </c>
      <c r="T6" s="1810" t="s">
        <v>186</v>
      </c>
      <c r="U6" s="1810" t="s">
        <v>101</v>
      </c>
      <c r="V6" s="1810"/>
      <c r="W6" s="1810"/>
      <c r="X6" s="1810"/>
      <c r="Y6" s="1810"/>
      <c r="Z6" s="1810"/>
    </row>
    <row r="7" spans="1:29" s="800" customFormat="1" ht="27" customHeight="1" x14ac:dyDescent="0.2">
      <c r="A7" s="1810"/>
      <c r="B7" s="1810"/>
      <c r="C7" s="1816"/>
      <c r="D7" s="1816"/>
      <c r="E7" s="1816" t="s">
        <v>15</v>
      </c>
      <c r="F7" s="1816" t="s">
        <v>36</v>
      </c>
      <c r="G7" s="1816"/>
      <c r="H7" s="1817" t="s">
        <v>222</v>
      </c>
      <c r="I7" s="1816" t="s">
        <v>223</v>
      </c>
      <c r="J7" s="1817" t="s">
        <v>224</v>
      </c>
      <c r="K7" s="1816"/>
      <c r="L7" s="1816"/>
      <c r="M7" s="1816" t="s">
        <v>15</v>
      </c>
      <c r="N7" s="1816" t="s">
        <v>36</v>
      </c>
      <c r="O7" s="1816"/>
      <c r="P7" s="1816" t="s">
        <v>222</v>
      </c>
      <c r="Q7" s="1816" t="s">
        <v>223</v>
      </c>
      <c r="R7" s="1816" t="s">
        <v>224</v>
      </c>
      <c r="S7" s="1810"/>
      <c r="T7" s="1810"/>
      <c r="U7" s="1810" t="s">
        <v>15</v>
      </c>
      <c r="V7" s="1810" t="s">
        <v>36</v>
      </c>
      <c r="W7" s="1810"/>
      <c r="X7" s="1814" t="s">
        <v>222</v>
      </c>
      <c r="Y7" s="1814" t="s">
        <v>223</v>
      </c>
      <c r="Z7" s="1814" t="s">
        <v>224</v>
      </c>
    </row>
    <row r="8" spans="1:29" s="800" customFormat="1" ht="105.75" customHeight="1" x14ac:dyDescent="0.2">
      <c r="A8" s="1810"/>
      <c r="B8" s="1810"/>
      <c r="C8" s="1816"/>
      <c r="D8" s="1816"/>
      <c r="E8" s="1816"/>
      <c r="F8" s="628" t="s">
        <v>225</v>
      </c>
      <c r="G8" s="628" t="s">
        <v>54</v>
      </c>
      <c r="H8" s="1817"/>
      <c r="I8" s="1816"/>
      <c r="J8" s="1817"/>
      <c r="K8" s="1816"/>
      <c r="L8" s="1816"/>
      <c r="M8" s="1816"/>
      <c r="N8" s="628" t="s">
        <v>225</v>
      </c>
      <c r="O8" s="628" t="s">
        <v>54</v>
      </c>
      <c r="P8" s="1816"/>
      <c r="Q8" s="1816"/>
      <c r="R8" s="1816"/>
      <c r="S8" s="1810"/>
      <c r="T8" s="1810"/>
      <c r="U8" s="1810"/>
      <c r="V8" s="801" t="s">
        <v>225</v>
      </c>
      <c r="W8" s="687" t="s">
        <v>54</v>
      </c>
      <c r="X8" s="1814"/>
      <c r="Y8" s="1814"/>
      <c r="Z8" s="1814"/>
    </row>
    <row r="9" spans="1:29" s="802" customFormat="1" ht="38.25" customHeight="1" x14ac:dyDescent="0.2">
      <c r="A9" s="567" t="s">
        <v>4</v>
      </c>
      <c r="B9" s="567" t="s">
        <v>5</v>
      </c>
      <c r="C9" s="798">
        <v>1</v>
      </c>
      <c r="D9" s="798">
        <v>2</v>
      </c>
      <c r="E9" s="798" t="s">
        <v>226</v>
      </c>
      <c r="F9" s="798">
        <v>4</v>
      </c>
      <c r="G9" s="798">
        <v>5</v>
      </c>
      <c r="H9" s="798">
        <v>6</v>
      </c>
      <c r="I9" s="798">
        <v>7</v>
      </c>
      <c r="J9" s="798">
        <v>8</v>
      </c>
      <c r="K9" s="798">
        <v>9</v>
      </c>
      <c r="L9" s="798">
        <v>10</v>
      </c>
      <c r="M9" s="798" t="s">
        <v>44</v>
      </c>
      <c r="N9" s="798">
        <v>12</v>
      </c>
      <c r="O9" s="798">
        <v>13</v>
      </c>
      <c r="P9" s="798">
        <v>14</v>
      </c>
      <c r="Q9" s="798">
        <v>15</v>
      </c>
      <c r="R9" s="798">
        <v>16</v>
      </c>
      <c r="S9" s="689" t="s">
        <v>227</v>
      </c>
      <c r="T9" s="689" t="s">
        <v>228</v>
      </c>
      <c r="U9" s="689" t="s">
        <v>229</v>
      </c>
      <c r="V9" s="689" t="s">
        <v>230</v>
      </c>
      <c r="W9" s="689" t="s">
        <v>231</v>
      </c>
      <c r="X9" s="689" t="s">
        <v>232</v>
      </c>
      <c r="Y9" s="689" t="s">
        <v>233</v>
      </c>
      <c r="Z9" s="689" t="s">
        <v>234</v>
      </c>
    </row>
    <row r="10" spans="1:29" s="806" customFormat="1" ht="34.5" customHeight="1" x14ac:dyDescent="0.2">
      <c r="A10" s="803"/>
      <c r="B10" s="803" t="s">
        <v>31</v>
      </c>
      <c r="C10" s="797">
        <f>SUM(C11:C11)</f>
        <v>131541000</v>
      </c>
      <c r="D10" s="797">
        <f>SUM(D11:D11)</f>
        <v>130344000</v>
      </c>
      <c r="E10" s="797">
        <f>SUM(E11:E11)</f>
        <v>1197000</v>
      </c>
      <c r="F10" s="797"/>
      <c r="G10" s="797">
        <f>SUM(G11:G11)</f>
        <v>1197000</v>
      </c>
      <c r="H10" s="797"/>
      <c r="I10" s="797">
        <f>SUM(I11:I11)</f>
        <v>461000</v>
      </c>
      <c r="J10" s="797">
        <f>SUM(J11:J11)</f>
        <v>736000</v>
      </c>
      <c r="K10" s="797">
        <f>SUM(K11:K11)</f>
        <v>516129.13700000005</v>
      </c>
      <c r="L10" s="797"/>
      <c r="M10" s="797">
        <f>SUM(M11:M11)</f>
        <v>516129.13700000005</v>
      </c>
      <c r="N10" s="797"/>
      <c r="O10" s="797">
        <f>SUM(O11:O11)</f>
        <v>516129.13700000005</v>
      </c>
      <c r="P10" s="797">
        <f>SUM(P11:P11)</f>
        <v>0</v>
      </c>
      <c r="Q10" s="797">
        <f>SUM(Q11:Q11)</f>
        <v>201053.7</v>
      </c>
      <c r="R10" s="797">
        <f>SUM(R11:R11)</f>
        <v>315075.43700000003</v>
      </c>
      <c r="S10" s="804">
        <f t="shared" ref="S10:U11" si="0">K10/C10%</f>
        <v>0.39237130400407483</v>
      </c>
      <c r="T10" s="804">
        <f t="shared" si="0"/>
        <v>0</v>
      </c>
      <c r="U10" s="804">
        <f t="shared" si="0"/>
        <v>43.118557811194655</v>
      </c>
      <c r="V10" s="804"/>
      <c r="W10" s="805">
        <f>O10/G10*100</f>
        <v>43.118557811194655</v>
      </c>
      <c r="X10" s="804"/>
      <c r="Y10" s="805">
        <f>Q10/I10*100</f>
        <v>43.612516268980478</v>
      </c>
      <c r="Z10" s="805">
        <f>R10/J10*100</f>
        <v>42.809162635869569</v>
      </c>
      <c r="AB10" s="807"/>
    </row>
    <row r="11" spans="1:29" s="445" customFormat="1" ht="42" customHeight="1" x14ac:dyDescent="0.2">
      <c r="A11" s="699">
        <v>1</v>
      </c>
      <c r="B11" s="808" t="s">
        <v>277</v>
      </c>
      <c r="C11" s="809">
        <f>SUM(D11,E11)</f>
        <v>131541000</v>
      </c>
      <c r="D11" s="809">
        <f>129620000+724000</f>
        <v>130344000</v>
      </c>
      <c r="E11" s="809">
        <f>SUM(F11:G11)</f>
        <v>1197000</v>
      </c>
      <c r="F11" s="809"/>
      <c r="G11" s="809">
        <f>H11+I11+J11</f>
        <v>1197000</v>
      </c>
      <c r="H11" s="809"/>
      <c r="I11" s="809">
        <f>261000+200000</f>
        <v>461000</v>
      </c>
      <c r="J11" s="809">
        <v>736000</v>
      </c>
      <c r="K11" s="809">
        <f>SUM(L11:M11)</f>
        <v>516129.13700000005</v>
      </c>
      <c r="L11" s="809"/>
      <c r="M11" s="809">
        <f>SUM(N11:O11)</f>
        <v>516129.13700000005</v>
      </c>
      <c r="N11" s="809"/>
      <c r="O11" s="809">
        <f>SUM(P11:R11)</f>
        <v>516129.13700000005</v>
      </c>
      <c r="P11" s="809"/>
      <c r="Q11" s="809">
        <f>111053.7+90000</f>
        <v>201053.7</v>
      </c>
      <c r="R11" s="809">
        <f>'64'!H7</f>
        <v>315075.43700000003</v>
      </c>
      <c r="S11" s="810">
        <f t="shared" si="0"/>
        <v>0.39237130400407483</v>
      </c>
      <c r="T11" s="810">
        <f>L11/D11%</f>
        <v>0</v>
      </c>
      <c r="U11" s="811">
        <f>M11/E11</f>
        <v>0.43118557811194658</v>
      </c>
      <c r="V11" s="810"/>
      <c r="W11" s="811">
        <f>O11/G11</f>
        <v>0.43118557811194658</v>
      </c>
      <c r="X11" s="810"/>
      <c r="Y11" s="811">
        <f>Q11/I11</f>
        <v>0.43612516268980478</v>
      </c>
      <c r="Z11" s="811">
        <f>R11/J11</f>
        <v>0.42809162635869569</v>
      </c>
      <c r="AB11" s="449"/>
    </row>
    <row r="12" spans="1:29" x14ac:dyDescent="0.25">
      <c r="R12" s="692"/>
      <c r="AC12" s="812"/>
    </row>
    <row r="13" spans="1:29" x14ac:dyDescent="0.25">
      <c r="I13" s="692"/>
      <c r="K13" s="692"/>
      <c r="L13" s="692"/>
      <c r="M13" s="692"/>
      <c r="R13" s="692"/>
    </row>
    <row r="14" spans="1:29" x14ac:dyDescent="0.25">
      <c r="C14" s="692"/>
      <c r="K14" s="692"/>
      <c r="R14" s="692"/>
    </row>
    <row r="15" spans="1:29" x14ac:dyDescent="0.25">
      <c r="P15" s="692"/>
      <c r="Q15" s="692"/>
      <c r="R15" s="692"/>
    </row>
    <row r="16" spans="1:29" x14ac:dyDescent="0.25">
      <c r="C16" s="795"/>
      <c r="M16" s="692"/>
      <c r="R16" s="692"/>
    </row>
    <row r="17" spans="3:18" x14ac:dyDescent="0.25">
      <c r="Q17" s="692"/>
      <c r="R17" s="692"/>
    </row>
    <row r="18" spans="3:18" x14ac:dyDescent="0.25">
      <c r="C18" s="796"/>
    </row>
  </sheetData>
  <mergeCells count="32">
    <mergeCell ref="T6:T8"/>
    <mergeCell ref="U6:Z6"/>
    <mergeCell ref="N7:O7"/>
    <mergeCell ref="S6:S8"/>
    <mergeCell ref="E7:E8"/>
    <mergeCell ref="F7:G7"/>
    <mergeCell ref="H7:H8"/>
    <mergeCell ref="I7:I8"/>
    <mergeCell ref="J7:J8"/>
    <mergeCell ref="P7:P8"/>
    <mergeCell ref="Q7:Q8"/>
    <mergeCell ref="R7:R8"/>
    <mergeCell ref="M7:M8"/>
    <mergeCell ref="K6:K8"/>
    <mergeCell ref="L6:L8"/>
    <mergeCell ref="M6:R6"/>
    <mergeCell ref="W1:Z1"/>
    <mergeCell ref="U7:U8"/>
    <mergeCell ref="V7:W7"/>
    <mergeCell ref="X7:X8"/>
    <mergeCell ref="Y7:Y8"/>
    <mergeCell ref="Z7:Z8"/>
    <mergeCell ref="A3:Z3"/>
    <mergeCell ref="A2:Z2"/>
    <mergeCell ref="A5:A8"/>
    <mergeCell ref="B5:B8"/>
    <mergeCell ref="C5:J5"/>
    <mergeCell ref="K5:R5"/>
    <mergeCell ref="S5:Z5"/>
    <mergeCell ref="C6:C8"/>
    <mergeCell ref="D6:D8"/>
    <mergeCell ref="E6:J6"/>
  </mergeCells>
  <printOptions horizontalCentered="1"/>
  <pageMargins left="0.26" right="0.16" top="0.78740157480314998" bottom="0.78740157480314998" header="0.31496062992126" footer="0.31496062992126"/>
  <pageSetup paperSize="9" scale="65" firstPageNumber="30" orientation="landscape" useFirstPageNumber="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115" zoomScaleNormal="115" zoomScaleSheetLayoutView="115" workbookViewId="0">
      <selection activeCell="K5" sqref="K5"/>
    </sheetView>
  </sheetViews>
  <sheetFormatPr defaultRowHeight="15" x14ac:dyDescent="0.25"/>
  <cols>
    <col min="1" max="1" width="5.7109375" customWidth="1"/>
    <col min="2" max="2" width="18.7109375" customWidth="1"/>
    <col min="3" max="3" width="15.140625" customWidth="1"/>
    <col min="4" max="4" width="12.140625" style="355" customWidth="1"/>
    <col min="5" max="5" width="14.140625" customWidth="1"/>
    <col min="6" max="6" width="11.28515625" customWidth="1"/>
    <col min="7" max="7" width="13" customWidth="1"/>
    <col min="8" max="8" width="10" style="109" customWidth="1"/>
    <col min="9" max="9" width="9.140625" style="1" customWidth="1"/>
  </cols>
  <sheetData>
    <row r="1" spans="1:9" ht="23.25" customHeight="1" x14ac:dyDescent="0.25">
      <c r="A1" s="20" t="str">
        <f>'48N'!A1</f>
        <v>UBND PHƯỜNG ĐỨC XUÂN</v>
      </c>
      <c r="G1" s="1818" t="s">
        <v>514</v>
      </c>
      <c r="H1" s="1818"/>
    </row>
    <row r="2" spans="1:9" ht="8.25" customHeight="1" x14ac:dyDescent="0.25">
      <c r="A2" s="20"/>
      <c r="H2" s="127"/>
    </row>
    <row r="3" spans="1:9" ht="23.25" customHeight="1" x14ac:dyDescent="0.25">
      <c r="A3" s="1775" t="s">
        <v>513</v>
      </c>
      <c r="B3" s="1775"/>
      <c r="C3" s="1775"/>
      <c r="D3" s="1775"/>
      <c r="E3" s="1775"/>
      <c r="F3" s="1775"/>
      <c r="G3" s="1775"/>
      <c r="H3" s="1775"/>
    </row>
    <row r="4" spans="1:9" ht="21" customHeight="1" x14ac:dyDescent="0.25">
      <c r="A4" s="1769" t="str">
        <f>'48N'!A4:F4</f>
        <v>(Kèm theo Tờ trình số    /TTr-KTHT&amp;ĐT ngày      /4/2026 của phòng KTHT&amp;ĐT phường Đức Xuân)</v>
      </c>
      <c r="B4" s="1769"/>
      <c r="C4" s="1769"/>
      <c r="D4" s="1769"/>
      <c r="E4" s="1769"/>
      <c r="F4" s="1769"/>
      <c r="G4" s="1769"/>
      <c r="H4" s="1769"/>
    </row>
    <row r="5" spans="1:9" ht="9.75" customHeight="1" x14ac:dyDescent="0.25">
      <c r="A5" s="173"/>
      <c r="B5" s="173"/>
      <c r="C5" s="173"/>
      <c r="D5" s="369"/>
      <c r="E5" s="173"/>
      <c r="F5" s="173"/>
      <c r="G5" s="173"/>
      <c r="H5" s="173"/>
    </row>
    <row r="6" spans="1:9" ht="22.5" customHeight="1" x14ac:dyDescent="0.25">
      <c r="H6" s="128" t="s">
        <v>427</v>
      </c>
    </row>
    <row r="7" spans="1:9" s="9" customFormat="1" ht="20.25" customHeight="1" x14ac:dyDescent="0.2">
      <c r="A7" s="1764" t="s">
        <v>1</v>
      </c>
      <c r="B7" s="1764" t="s">
        <v>48</v>
      </c>
      <c r="C7" s="1764" t="s">
        <v>235</v>
      </c>
      <c r="D7" s="1764" t="s">
        <v>43</v>
      </c>
      <c r="E7" s="1764"/>
      <c r="F7" s="1764"/>
      <c r="G7" s="1764"/>
      <c r="H7" s="1764"/>
    </row>
    <row r="8" spans="1:9" s="9" customFormat="1" ht="123.75" customHeight="1" x14ac:dyDescent="0.2">
      <c r="A8" s="1764"/>
      <c r="B8" s="1764"/>
      <c r="C8" s="1764"/>
      <c r="D8" s="353" t="s">
        <v>236</v>
      </c>
      <c r="E8" s="93" t="s">
        <v>338</v>
      </c>
      <c r="F8" s="93" t="s">
        <v>237</v>
      </c>
      <c r="G8" s="93" t="s">
        <v>59</v>
      </c>
      <c r="H8" s="110" t="s">
        <v>238</v>
      </c>
    </row>
    <row r="9" spans="1:9" s="70" customFormat="1" ht="18" customHeight="1" x14ac:dyDescent="0.2">
      <c r="A9" s="94" t="s">
        <v>4</v>
      </c>
      <c r="B9" s="94" t="s">
        <v>5</v>
      </c>
      <c r="C9" s="94">
        <v>1</v>
      </c>
      <c r="D9" s="370">
        <v>2</v>
      </c>
      <c r="E9" s="94">
        <v>3</v>
      </c>
      <c r="F9" s="94">
        <v>4</v>
      </c>
      <c r="G9" s="94">
        <v>5</v>
      </c>
      <c r="H9" s="129">
        <v>6</v>
      </c>
      <c r="I9" s="9"/>
    </row>
    <row r="10" spans="1:9" s="41" customFormat="1" ht="24" customHeight="1" x14ac:dyDescent="0.2">
      <c r="A10" s="50"/>
      <c r="B10" s="48" t="s">
        <v>31</v>
      </c>
      <c r="C10" s="60">
        <f t="shared" ref="C10:H10" si="0">SUM(C11:C11)</f>
        <v>180392183.704</v>
      </c>
      <c r="D10" s="354">
        <f t="shared" si="0"/>
        <v>329320.12699999998</v>
      </c>
      <c r="E10" s="60">
        <f t="shared" si="0"/>
        <v>176107963.10499999</v>
      </c>
      <c r="F10" s="60">
        <f t="shared" si="0"/>
        <v>0</v>
      </c>
      <c r="G10" s="537">
        <f t="shared" si="0"/>
        <v>3850888.9619999998</v>
      </c>
      <c r="H10" s="111">
        <f t="shared" si="0"/>
        <v>104011.51</v>
      </c>
      <c r="I10" s="88"/>
    </row>
    <row r="11" spans="1:9" s="119" customFormat="1" ht="30.75" customHeight="1" x14ac:dyDescent="0.25">
      <c r="A11" s="813">
        <v>1</v>
      </c>
      <c r="B11" s="814" t="s">
        <v>277</v>
      </c>
      <c r="C11" s="815">
        <f>SUM(D11:H11)</f>
        <v>180392183.704</v>
      </c>
      <c r="D11" s="815">
        <f>'60'!I10</f>
        <v>329320.12699999998</v>
      </c>
      <c r="E11" s="815">
        <f>'60'!I37</f>
        <v>176107963.10499999</v>
      </c>
      <c r="F11" s="815">
        <v>0</v>
      </c>
      <c r="G11" s="815">
        <f>'60'!I44</f>
        <v>3850888.9619999998</v>
      </c>
      <c r="H11" s="815">
        <f>'60'!I45</f>
        <v>104011.51</v>
      </c>
    </row>
  </sheetData>
  <mergeCells count="7">
    <mergeCell ref="G1:H1"/>
    <mergeCell ref="A3:H3"/>
    <mergeCell ref="A7:A8"/>
    <mergeCell ref="B7:B8"/>
    <mergeCell ref="C7:C8"/>
    <mergeCell ref="D7:H7"/>
    <mergeCell ref="A4:H4"/>
  </mergeCells>
  <printOptions horizontalCentered="1"/>
  <pageMargins left="0.43307086614173201" right="0.47244094488188998" top="0.78740157480314998" bottom="0.78740157480314998" header="0.511811023622047" footer="0.31496062992126"/>
  <pageSetup paperSize="9" scale="91" firstPageNumber="31" orientation="portrait" useFirstPageNumber="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zoomScale="82" zoomScaleNormal="82" zoomScaleSheetLayoutView="85" zoomScalePageLayoutView="85" workbookViewId="0">
      <selection activeCell="L27" sqref="L27"/>
    </sheetView>
  </sheetViews>
  <sheetFormatPr defaultRowHeight="15" x14ac:dyDescent="0.25"/>
  <cols>
    <col min="1" max="1" width="6.28515625" style="428" customWidth="1"/>
    <col min="2" max="2" width="27.28515625" style="428" customWidth="1"/>
    <col min="3" max="3" width="10" style="428" customWidth="1"/>
    <col min="4" max="4" width="9" style="428" customWidth="1"/>
    <col min="5" max="5" width="11.140625" style="428" customWidth="1"/>
    <col min="6" max="6" width="11.42578125" style="428" customWidth="1"/>
    <col min="7" max="7" width="9.7109375" style="428" customWidth="1"/>
    <col min="8" max="8" width="12.28515625" style="407" customWidth="1"/>
    <col min="9" max="9" width="10.28515625" style="428" customWidth="1"/>
    <col min="10" max="10" width="9.28515625" style="428" bestFit="1" customWidth="1"/>
    <col min="11" max="11" width="8.140625" style="428" customWidth="1"/>
    <col min="12" max="12" width="6.42578125" style="428" customWidth="1"/>
    <col min="13" max="13" width="9.85546875" style="428" customWidth="1"/>
    <col min="14" max="14" width="10.28515625" style="428" customWidth="1"/>
    <col min="15" max="15" width="6" style="428" customWidth="1"/>
    <col min="16" max="16" width="10.7109375" style="428" customWidth="1"/>
    <col min="17" max="17" width="9.140625" style="428" customWidth="1"/>
    <col min="18" max="18" width="8.85546875" style="428" customWidth="1"/>
    <col min="19" max="19" width="7.28515625" style="428" customWidth="1"/>
    <col min="20" max="20" width="8.7109375" style="428" customWidth="1"/>
    <col min="21" max="21" width="9.28515625" style="428" customWidth="1"/>
    <col min="22" max="22" width="7.28515625" style="428" customWidth="1"/>
    <col min="23" max="24" width="7.7109375" style="428" customWidth="1"/>
    <col min="25" max="25" width="8" style="428" customWidth="1"/>
    <col min="26" max="16384" width="9.140625" style="428"/>
  </cols>
  <sheetData>
    <row r="1" spans="1:25" ht="26.25" customHeight="1" x14ac:dyDescent="0.25">
      <c r="A1" s="690" t="str">
        <f>'48N'!A1</f>
        <v>UBND PHƯỜNG ĐỨC XUÂN</v>
      </c>
      <c r="V1" s="1808" t="s">
        <v>505</v>
      </c>
      <c r="W1" s="1808"/>
      <c r="X1" s="1808"/>
      <c r="Y1" s="1808"/>
    </row>
    <row r="2" spans="1:25" ht="21.75" customHeight="1" x14ac:dyDescent="0.25">
      <c r="A2" s="1819" t="s">
        <v>501</v>
      </c>
      <c r="B2" s="1819"/>
      <c r="C2" s="1819"/>
      <c r="D2" s="1819"/>
      <c r="E2" s="1819"/>
      <c r="F2" s="1819"/>
      <c r="G2" s="1819"/>
      <c r="H2" s="1819"/>
      <c r="I2" s="1819"/>
      <c r="J2" s="1819"/>
      <c r="K2" s="1819"/>
      <c r="L2" s="1819"/>
      <c r="M2" s="1819"/>
      <c r="N2" s="1819"/>
      <c r="O2" s="1819"/>
      <c r="P2" s="1819"/>
      <c r="Q2" s="1819"/>
      <c r="R2" s="1819"/>
      <c r="S2" s="1819"/>
      <c r="T2" s="1819"/>
      <c r="U2" s="1819"/>
      <c r="V2" s="1819"/>
      <c r="W2" s="1819"/>
      <c r="X2" s="1819"/>
      <c r="Y2" s="1819"/>
    </row>
    <row r="3" spans="1:25" ht="21.75" customHeight="1" x14ac:dyDescent="0.25">
      <c r="A3" s="1813" t="str">
        <f>'48N'!A4:F4</f>
        <v>(Kèm theo Tờ trình số    /TTr-KTHT&amp;ĐT ngày      /4/2026 của phòng KTHT&amp;ĐT phường Đức Xuân)</v>
      </c>
      <c r="B3" s="1813"/>
      <c r="C3" s="1813"/>
      <c r="D3" s="1813"/>
      <c r="E3" s="1813"/>
      <c r="F3" s="1813"/>
      <c r="G3" s="1813"/>
      <c r="H3" s="1813"/>
      <c r="I3" s="1813"/>
      <c r="J3" s="1813"/>
      <c r="K3" s="1813"/>
      <c r="L3" s="1813"/>
      <c r="M3" s="1813"/>
      <c r="N3" s="1813"/>
      <c r="O3" s="1813"/>
      <c r="P3" s="1813"/>
      <c r="Q3" s="1813"/>
      <c r="R3" s="1813"/>
      <c r="S3" s="1813"/>
      <c r="T3" s="1813"/>
      <c r="U3" s="1813"/>
      <c r="V3" s="1813"/>
      <c r="W3" s="1813"/>
      <c r="X3" s="1813"/>
      <c r="Y3" s="1813"/>
    </row>
    <row r="4" spans="1:25" s="691" customFormat="1" ht="31.5" customHeight="1" x14ac:dyDescent="0.25">
      <c r="D4" s="776"/>
      <c r="E4" s="777"/>
      <c r="H4" s="778"/>
      <c r="N4" s="1821" t="s">
        <v>427</v>
      </c>
      <c r="O4" s="1821"/>
      <c r="P4" s="1821"/>
      <c r="Q4" s="1821"/>
      <c r="R4" s="1821"/>
      <c r="S4" s="1821"/>
      <c r="T4" s="1821"/>
      <c r="U4" s="1821"/>
      <c r="V4" s="1821"/>
      <c r="W4" s="1821"/>
      <c r="X4" s="1821"/>
      <c r="Y4" s="1821"/>
    </row>
    <row r="5" spans="1:25" ht="31.5" customHeight="1" x14ac:dyDescent="0.25">
      <c r="A5" s="1820" t="s">
        <v>1</v>
      </c>
      <c r="B5" s="1820" t="s">
        <v>337</v>
      </c>
      <c r="C5" s="1820" t="s">
        <v>3</v>
      </c>
      <c r="D5" s="1820"/>
      <c r="E5" s="1820"/>
      <c r="F5" s="1824" t="s">
        <v>169</v>
      </c>
      <c r="G5" s="1825"/>
      <c r="H5" s="1825"/>
      <c r="I5" s="1825"/>
      <c r="J5" s="1825"/>
      <c r="K5" s="1825"/>
      <c r="L5" s="1825"/>
      <c r="M5" s="1825"/>
      <c r="N5" s="1825"/>
      <c r="O5" s="1825"/>
      <c r="P5" s="1825"/>
      <c r="Q5" s="1825"/>
      <c r="R5" s="1825"/>
      <c r="S5" s="1825"/>
      <c r="T5" s="1825"/>
      <c r="U5" s="1825"/>
      <c r="V5" s="1826"/>
      <c r="W5" s="1820" t="s">
        <v>183</v>
      </c>
      <c r="X5" s="1820"/>
      <c r="Y5" s="1820"/>
    </row>
    <row r="6" spans="1:25" ht="31.5" customHeight="1" x14ac:dyDescent="0.25">
      <c r="A6" s="1820"/>
      <c r="B6" s="1820"/>
      <c r="C6" s="1820" t="s">
        <v>15</v>
      </c>
      <c r="D6" s="1820" t="s">
        <v>43</v>
      </c>
      <c r="E6" s="1820"/>
      <c r="F6" s="1820" t="s">
        <v>15</v>
      </c>
      <c r="G6" s="1820" t="s">
        <v>43</v>
      </c>
      <c r="H6" s="1820"/>
      <c r="I6" s="1820" t="s">
        <v>282</v>
      </c>
      <c r="J6" s="1820"/>
      <c r="K6" s="1820"/>
      <c r="L6" s="1820"/>
      <c r="M6" s="1820"/>
      <c r="N6" s="1820"/>
      <c r="O6" s="1820"/>
      <c r="P6" s="1820" t="s">
        <v>394</v>
      </c>
      <c r="Q6" s="1820"/>
      <c r="R6" s="1820"/>
      <c r="S6" s="1820"/>
      <c r="T6" s="1820"/>
      <c r="U6" s="1820"/>
      <c r="V6" s="1820"/>
      <c r="W6" s="1820" t="s">
        <v>15</v>
      </c>
      <c r="X6" s="1820" t="s">
        <v>43</v>
      </c>
      <c r="Y6" s="1820"/>
    </row>
    <row r="7" spans="1:25" ht="30.6" customHeight="1" x14ac:dyDescent="0.25">
      <c r="A7" s="1820"/>
      <c r="B7" s="1820"/>
      <c r="C7" s="1820"/>
      <c r="D7" s="1820" t="s">
        <v>239</v>
      </c>
      <c r="E7" s="1820" t="s">
        <v>240</v>
      </c>
      <c r="F7" s="1820"/>
      <c r="G7" s="1820" t="s">
        <v>239</v>
      </c>
      <c r="H7" s="1823" t="s">
        <v>240</v>
      </c>
      <c r="I7" s="1820" t="s">
        <v>15</v>
      </c>
      <c r="J7" s="1820" t="s">
        <v>29</v>
      </c>
      <c r="K7" s="1820"/>
      <c r="L7" s="1820"/>
      <c r="M7" s="1820" t="s">
        <v>240</v>
      </c>
      <c r="N7" s="1820"/>
      <c r="O7" s="1820"/>
      <c r="P7" s="1820" t="s">
        <v>15</v>
      </c>
      <c r="Q7" s="1820" t="s">
        <v>29</v>
      </c>
      <c r="R7" s="1820"/>
      <c r="S7" s="1820"/>
      <c r="T7" s="1820" t="s">
        <v>240</v>
      </c>
      <c r="U7" s="1820"/>
      <c r="V7" s="1820"/>
      <c r="W7" s="1820"/>
      <c r="X7" s="1822" t="s">
        <v>29</v>
      </c>
      <c r="Y7" s="1822" t="s">
        <v>30</v>
      </c>
    </row>
    <row r="8" spans="1:25" ht="20.25" customHeight="1" x14ac:dyDescent="0.25">
      <c r="A8" s="1820"/>
      <c r="B8" s="1820"/>
      <c r="C8" s="1820"/>
      <c r="D8" s="1820"/>
      <c r="E8" s="1820"/>
      <c r="F8" s="1820"/>
      <c r="G8" s="1820"/>
      <c r="H8" s="1823"/>
      <c r="I8" s="1820"/>
      <c r="J8" s="1820" t="s">
        <v>15</v>
      </c>
      <c r="K8" s="1820" t="s">
        <v>241</v>
      </c>
      <c r="L8" s="1820"/>
      <c r="M8" s="1820" t="s">
        <v>15</v>
      </c>
      <c r="N8" s="1820" t="s">
        <v>241</v>
      </c>
      <c r="O8" s="1820"/>
      <c r="P8" s="1820"/>
      <c r="Q8" s="1820" t="s">
        <v>15</v>
      </c>
      <c r="R8" s="1820" t="s">
        <v>241</v>
      </c>
      <c r="S8" s="1820"/>
      <c r="T8" s="1820" t="s">
        <v>15</v>
      </c>
      <c r="U8" s="1820" t="s">
        <v>241</v>
      </c>
      <c r="V8" s="1820"/>
      <c r="W8" s="1820"/>
      <c r="X8" s="1822"/>
      <c r="Y8" s="1822"/>
    </row>
    <row r="9" spans="1:25" ht="61.5" customHeight="1" x14ac:dyDescent="0.25">
      <c r="A9" s="1820"/>
      <c r="B9" s="1820"/>
      <c r="C9" s="1820"/>
      <c r="D9" s="1820"/>
      <c r="E9" s="1820"/>
      <c r="F9" s="1820"/>
      <c r="G9" s="1820"/>
      <c r="H9" s="1823"/>
      <c r="I9" s="1820"/>
      <c r="J9" s="1820"/>
      <c r="K9" s="545" t="s">
        <v>54</v>
      </c>
      <c r="L9" s="545" t="s">
        <v>225</v>
      </c>
      <c r="M9" s="1820"/>
      <c r="N9" s="625" t="s">
        <v>54</v>
      </c>
      <c r="O9" s="626" t="s">
        <v>225</v>
      </c>
      <c r="P9" s="1820"/>
      <c r="Q9" s="1820"/>
      <c r="R9" s="545" t="s">
        <v>54</v>
      </c>
      <c r="S9" s="545" t="s">
        <v>225</v>
      </c>
      <c r="T9" s="1820"/>
      <c r="U9" s="625" t="s">
        <v>54</v>
      </c>
      <c r="V9" s="626" t="s">
        <v>225</v>
      </c>
      <c r="W9" s="1820"/>
      <c r="X9" s="1822"/>
      <c r="Y9" s="1822"/>
    </row>
    <row r="10" spans="1:25" s="783" customFormat="1" ht="25.15" customHeight="1" x14ac:dyDescent="0.2">
      <c r="A10" s="782" t="s">
        <v>4</v>
      </c>
      <c r="B10" s="782" t="s">
        <v>5</v>
      </c>
      <c r="C10" s="782">
        <v>1</v>
      </c>
      <c r="D10" s="782">
        <v>2</v>
      </c>
      <c r="E10" s="782">
        <v>3</v>
      </c>
      <c r="F10" s="782">
        <v>4</v>
      </c>
      <c r="G10" s="782">
        <v>5</v>
      </c>
      <c r="H10" s="782">
        <v>6</v>
      </c>
      <c r="I10" s="782">
        <v>7</v>
      </c>
      <c r="J10" s="782">
        <v>8</v>
      </c>
      <c r="K10" s="782">
        <v>9</v>
      </c>
      <c r="L10" s="782">
        <v>10</v>
      </c>
      <c r="M10" s="782">
        <v>11</v>
      </c>
      <c r="N10" s="782">
        <v>12</v>
      </c>
      <c r="O10" s="782">
        <v>13</v>
      </c>
      <c r="P10" s="782">
        <v>14</v>
      </c>
      <c r="Q10" s="782">
        <v>15</v>
      </c>
      <c r="R10" s="782">
        <v>16</v>
      </c>
      <c r="S10" s="782">
        <v>17</v>
      </c>
      <c r="T10" s="782">
        <v>18</v>
      </c>
      <c r="U10" s="782">
        <v>19</v>
      </c>
      <c r="V10" s="782">
        <v>20</v>
      </c>
      <c r="W10" s="782" t="s">
        <v>502</v>
      </c>
      <c r="X10" s="782" t="s">
        <v>503</v>
      </c>
      <c r="Y10" s="782" t="s">
        <v>504</v>
      </c>
    </row>
    <row r="11" spans="1:25" s="775" customFormat="1" ht="32.25" customHeight="1" x14ac:dyDescent="0.2">
      <c r="A11" s="784"/>
      <c r="B11" s="785" t="s">
        <v>31</v>
      </c>
      <c r="C11" s="786">
        <f>SUM(C12:C15)</f>
        <v>736000</v>
      </c>
      <c r="D11" s="786">
        <f t="shared" ref="D11:V11" si="0">SUM(D12:D15)</f>
        <v>0</v>
      </c>
      <c r="E11" s="786">
        <f t="shared" si="0"/>
        <v>736000</v>
      </c>
      <c r="F11" s="786">
        <f t="shared" si="0"/>
        <v>315075.43700000003</v>
      </c>
      <c r="G11" s="786">
        <f t="shared" si="0"/>
        <v>60964.895000000004</v>
      </c>
      <c r="H11" s="786">
        <f t="shared" si="0"/>
        <v>254110.54200000002</v>
      </c>
      <c r="I11" s="786">
        <f t="shared" si="0"/>
        <v>187115.38800000001</v>
      </c>
      <c r="J11" s="786">
        <f t="shared" si="0"/>
        <v>0</v>
      </c>
      <c r="K11" s="786">
        <f t="shared" si="0"/>
        <v>0</v>
      </c>
      <c r="L11" s="786">
        <f t="shared" si="0"/>
        <v>0</v>
      </c>
      <c r="M11" s="786">
        <f t="shared" si="0"/>
        <v>187115.38800000001</v>
      </c>
      <c r="N11" s="786">
        <f t="shared" si="0"/>
        <v>187115.38800000001</v>
      </c>
      <c r="O11" s="786">
        <f t="shared" si="0"/>
        <v>0</v>
      </c>
      <c r="P11" s="786">
        <f t="shared" si="0"/>
        <v>127960.049</v>
      </c>
      <c r="Q11" s="786">
        <f t="shared" si="0"/>
        <v>60964.895000000004</v>
      </c>
      <c r="R11" s="786">
        <f t="shared" si="0"/>
        <v>60964.895000000004</v>
      </c>
      <c r="S11" s="786">
        <f t="shared" si="0"/>
        <v>0</v>
      </c>
      <c r="T11" s="786">
        <f t="shared" si="0"/>
        <v>66995.153999999995</v>
      </c>
      <c r="U11" s="786">
        <f t="shared" si="0"/>
        <v>66995.153999999995</v>
      </c>
      <c r="V11" s="786">
        <f t="shared" si="0"/>
        <v>0</v>
      </c>
      <c r="W11" s="787">
        <f>F11/C11</f>
        <v>0.42809162635869569</v>
      </c>
      <c r="X11" s="788"/>
      <c r="Y11" s="787">
        <f t="shared" ref="Y11" si="1">H11/E11</f>
        <v>0.34525888858695652</v>
      </c>
    </row>
    <row r="12" spans="1:25" s="775" customFormat="1" ht="32.25" customHeight="1" x14ac:dyDescent="0.2">
      <c r="A12" s="1514">
        <v>1</v>
      </c>
      <c r="B12" s="1515" t="s">
        <v>275</v>
      </c>
      <c r="C12" s="1516">
        <f>D12+E12</f>
        <v>20000</v>
      </c>
      <c r="D12" s="1517"/>
      <c r="E12" s="1516">
        <v>20000</v>
      </c>
      <c r="F12" s="1516">
        <f>SUM(G12:H12)</f>
        <v>20000</v>
      </c>
      <c r="G12" s="1516">
        <f>J12+Q12</f>
        <v>0</v>
      </c>
      <c r="H12" s="1516">
        <f>M12+T12</f>
        <v>20000</v>
      </c>
      <c r="I12" s="1516">
        <f>SUM(J12,M12)</f>
        <v>0</v>
      </c>
      <c r="J12" s="1517">
        <f>K12+L12</f>
        <v>0</v>
      </c>
      <c r="K12" s="1517"/>
      <c r="L12" s="1517"/>
      <c r="M12" s="1516">
        <f>N12</f>
        <v>0</v>
      </c>
      <c r="N12" s="1517"/>
      <c r="O12" s="1517"/>
      <c r="P12" s="1516">
        <f>SUM(Q12,T12)</f>
        <v>20000</v>
      </c>
      <c r="Q12" s="1517">
        <f>R12+S12</f>
        <v>0</v>
      </c>
      <c r="R12" s="1517"/>
      <c r="S12" s="1517"/>
      <c r="T12" s="1517">
        <f>U12+V12</f>
        <v>20000</v>
      </c>
      <c r="U12" s="1517">
        <v>20000</v>
      </c>
      <c r="V12" s="1517"/>
      <c r="W12" s="1518">
        <f>F12/C12</f>
        <v>1</v>
      </c>
      <c r="X12" s="1518"/>
      <c r="Y12" s="1518">
        <f t="shared" ref="Y12" si="2">H12/E12</f>
        <v>1</v>
      </c>
    </row>
    <row r="13" spans="1:25" ht="39.75" customHeight="1" x14ac:dyDescent="0.25">
      <c r="A13" s="1519">
        <v>2</v>
      </c>
      <c r="B13" s="779" t="s">
        <v>413</v>
      </c>
      <c r="C13" s="789">
        <f>D13+E13</f>
        <v>312000</v>
      </c>
      <c r="D13" s="789">
        <v>0</v>
      </c>
      <c r="E13" s="789">
        <f>227000+85000</f>
        <v>312000</v>
      </c>
      <c r="F13" s="789">
        <f>SUM(G13:H13)</f>
        <v>233081.39500000002</v>
      </c>
      <c r="G13" s="789">
        <f t="shared" ref="G13:G15" si="3">J13+Q13</f>
        <v>60964.895000000004</v>
      </c>
      <c r="H13" s="789">
        <f t="shared" ref="H13:H15" si="4">M13+T13</f>
        <v>172116.5</v>
      </c>
      <c r="I13" s="789">
        <f t="shared" ref="I13:I15" si="5">SUM(J13,M13)</f>
        <v>172116.5</v>
      </c>
      <c r="J13" s="1520">
        <f t="shared" ref="J13:J15" si="6">K13+L13</f>
        <v>0</v>
      </c>
      <c r="K13" s="789"/>
      <c r="L13" s="789"/>
      <c r="M13" s="789">
        <f t="shared" ref="M13:M15" si="7">N13</f>
        <v>172116.5</v>
      </c>
      <c r="N13" s="789">
        <v>172116.5</v>
      </c>
      <c r="O13" s="789"/>
      <c r="P13" s="789">
        <f t="shared" ref="P13:P15" si="8">SUM(Q13,T13)</f>
        <v>60964.895000000004</v>
      </c>
      <c r="Q13" s="1520">
        <f t="shared" ref="Q13:Q15" si="9">R13+S13</f>
        <v>60964.895000000004</v>
      </c>
      <c r="R13" s="789">
        <v>60964.895000000004</v>
      </c>
      <c r="S13" s="789"/>
      <c r="T13" s="1520">
        <f t="shared" ref="T13:T15" si="10">U13+V13</f>
        <v>0</v>
      </c>
      <c r="U13" s="789"/>
      <c r="V13" s="789"/>
      <c r="W13" s="922">
        <f t="shared" ref="W13:W15" si="11">F13/C13</f>
        <v>0.74705575320512829</v>
      </c>
      <c r="X13" s="922"/>
      <c r="Y13" s="922">
        <f t="shared" ref="Y13:Y15" si="12">H13/E13</f>
        <v>0.55165544871794869</v>
      </c>
    </row>
    <row r="14" spans="1:25" ht="32.25" customHeight="1" x14ac:dyDescent="0.25">
      <c r="A14" s="1519">
        <v>3</v>
      </c>
      <c r="B14" s="779" t="s">
        <v>414</v>
      </c>
      <c r="C14" s="789">
        <f>D14+E14</f>
        <v>382000</v>
      </c>
      <c r="D14" s="789">
        <v>0</v>
      </c>
      <c r="E14" s="789">
        <f>325000+57000</f>
        <v>382000</v>
      </c>
      <c r="F14" s="789">
        <f>SUM(G14:H14)</f>
        <v>39994.042000000001</v>
      </c>
      <c r="G14" s="789">
        <f t="shared" si="3"/>
        <v>0</v>
      </c>
      <c r="H14" s="789">
        <f t="shared" si="4"/>
        <v>39994.042000000001</v>
      </c>
      <c r="I14" s="789">
        <f t="shared" si="5"/>
        <v>14998.888000000001</v>
      </c>
      <c r="J14" s="1520">
        <f t="shared" si="6"/>
        <v>0</v>
      </c>
      <c r="K14" s="789"/>
      <c r="L14" s="789"/>
      <c r="M14" s="789">
        <f t="shared" si="7"/>
        <v>14998.888000000001</v>
      </c>
      <c r="N14" s="789">
        <v>14998.888000000001</v>
      </c>
      <c r="O14" s="789"/>
      <c r="P14" s="789">
        <f t="shared" si="8"/>
        <v>24995.153999999999</v>
      </c>
      <c r="Q14" s="1520">
        <f t="shared" si="9"/>
        <v>0</v>
      </c>
      <c r="R14" s="789"/>
      <c r="S14" s="789"/>
      <c r="T14" s="1520">
        <f t="shared" si="10"/>
        <v>24995.153999999999</v>
      </c>
      <c r="U14" s="789">
        <v>24995.153999999999</v>
      </c>
      <c r="V14" s="789"/>
      <c r="W14" s="922">
        <f t="shared" si="11"/>
        <v>0.10469644502617802</v>
      </c>
      <c r="X14" s="922"/>
      <c r="Y14" s="922">
        <f t="shared" si="12"/>
        <v>0.10469644502617802</v>
      </c>
    </row>
    <row r="15" spans="1:25" ht="32.25" customHeight="1" x14ac:dyDescent="0.25">
      <c r="A15" s="1521">
        <v>4</v>
      </c>
      <c r="B15" s="790" t="s">
        <v>416</v>
      </c>
      <c r="C15" s="791">
        <f t="shared" ref="C15" si="13">D15+E15</f>
        <v>22000</v>
      </c>
      <c r="D15" s="791"/>
      <c r="E15" s="791">
        <v>22000</v>
      </c>
      <c r="F15" s="791">
        <f>SUM(G15:H15)</f>
        <v>22000</v>
      </c>
      <c r="G15" s="791">
        <f t="shared" si="3"/>
        <v>0</v>
      </c>
      <c r="H15" s="791">
        <f t="shared" si="4"/>
        <v>22000</v>
      </c>
      <c r="I15" s="791">
        <f t="shared" si="5"/>
        <v>0</v>
      </c>
      <c r="J15" s="1522">
        <f t="shared" si="6"/>
        <v>0</v>
      </c>
      <c r="K15" s="791"/>
      <c r="L15" s="791"/>
      <c r="M15" s="791">
        <f t="shared" si="7"/>
        <v>0</v>
      </c>
      <c r="N15" s="791"/>
      <c r="O15" s="791"/>
      <c r="P15" s="791">
        <f t="shared" si="8"/>
        <v>22000</v>
      </c>
      <c r="Q15" s="1522">
        <f t="shared" si="9"/>
        <v>0</v>
      </c>
      <c r="R15" s="791"/>
      <c r="S15" s="791"/>
      <c r="T15" s="1522">
        <f t="shared" si="10"/>
        <v>22000</v>
      </c>
      <c r="U15" s="791">
        <v>22000</v>
      </c>
      <c r="V15" s="791"/>
      <c r="W15" s="792">
        <f t="shared" si="11"/>
        <v>1</v>
      </c>
      <c r="X15" s="792"/>
      <c r="Y15" s="792">
        <f t="shared" si="12"/>
        <v>1</v>
      </c>
    </row>
    <row r="16" spans="1:25" s="780" customFormat="1" ht="11.25" x14ac:dyDescent="0.2">
      <c r="H16" s="781"/>
    </row>
    <row r="17" spans="8:8" s="780" customFormat="1" ht="11.25" x14ac:dyDescent="0.2">
      <c r="H17" s="781"/>
    </row>
    <row r="18" spans="8:8" s="780" customFormat="1" ht="11.25" x14ac:dyDescent="0.2">
      <c r="H18" s="781"/>
    </row>
    <row r="19" spans="8:8" s="780" customFormat="1" ht="11.25" x14ac:dyDescent="0.2">
      <c r="H19" s="781"/>
    </row>
    <row r="20" spans="8:8" s="780" customFormat="1" ht="11.25" x14ac:dyDescent="0.2">
      <c r="H20" s="781"/>
    </row>
    <row r="21" spans="8:8" s="780" customFormat="1" ht="11.25" x14ac:dyDescent="0.2">
      <c r="H21" s="781"/>
    </row>
    <row r="22" spans="8:8" s="780" customFormat="1" ht="11.25" x14ac:dyDescent="0.2">
      <c r="H22" s="781"/>
    </row>
    <row r="23" spans="8:8" s="780" customFormat="1" ht="11.25" x14ac:dyDescent="0.2">
      <c r="H23" s="781"/>
    </row>
    <row r="24" spans="8:8" s="780" customFormat="1" ht="11.25" x14ac:dyDescent="0.2">
      <c r="H24" s="781"/>
    </row>
    <row r="25" spans="8:8" s="780" customFormat="1" ht="11.25" x14ac:dyDescent="0.2">
      <c r="H25" s="781"/>
    </row>
    <row r="26" spans="8:8" s="780" customFormat="1" ht="11.25" x14ac:dyDescent="0.2">
      <c r="H26" s="781"/>
    </row>
    <row r="27" spans="8:8" s="780" customFormat="1" ht="11.25" x14ac:dyDescent="0.2">
      <c r="H27" s="781"/>
    </row>
    <row r="28" spans="8:8" s="780" customFormat="1" ht="11.25" x14ac:dyDescent="0.2">
      <c r="H28" s="781"/>
    </row>
    <row r="29" spans="8:8" s="780" customFormat="1" ht="11.25" x14ac:dyDescent="0.2">
      <c r="H29" s="781"/>
    </row>
    <row r="30" spans="8:8" s="780" customFormat="1" ht="11.25" x14ac:dyDescent="0.2">
      <c r="H30" s="781"/>
    </row>
    <row r="31" spans="8:8" s="780" customFormat="1" ht="11.25" x14ac:dyDescent="0.2">
      <c r="H31" s="781"/>
    </row>
    <row r="32" spans="8:8" s="780" customFormat="1" ht="11.25" x14ac:dyDescent="0.2">
      <c r="H32" s="781"/>
    </row>
    <row r="33" spans="8:8" s="780" customFormat="1" ht="11.25" x14ac:dyDescent="0.2">
      <c r="H33" s="781"/>
    </row>
    <row r="34" spans="8:8" s="780" customFormat="1" ht="11.25" x14ac:dyDescent="0.2">
      <c r="H34" s="781"/>
    </row>
    <row r="35" spans="8:8" s="780" customFormat="1" ht="11.25" x14ac:dyDescent="0.2">
      <c r="H35" s="781"/>
    </row>
  </sheetData>
  <mergeCells count="37">
    <mergeCell ref="F5:V5"/>
    <mergeCell ref="P6:V6"/>
    <mergeCell ref="P7:P9"/>
    <mergeCell ref="Q7:S7"/>
    <mergeCell ref="T7:V7"/>
    <mergeCell ref="Q8:Q9"/>
    <mergeCell ref="R8:S8"/>
    <mergeCell ref="T8:T9"/>
    <mergeCell ref="U8:V8"/>
    <mergeCell ref="I7:I9"/>
    <mergeCell ref="M7:O7"/>
    <mergeCell ref="D7:D9"/>
    <mergeCell ref="E7:E9"/>
    <mergeCell ref="N8:O8"/>
    <mergeCell ref="K8:L8"/>
    <mergeCell ref="M8:M9"/>
    <mergeCell ref="J8:J9"/>
    <mergeCell ref="G7:G9"/>
    <mergeCell ref="F6:F9"/>
    <mergeCell ref="I6:O6"/>
    <mergeCell ref="G6:H6"/>
    <mergeCell ref="V1:Y1"/>
    <mergeCell ref="A2:Y2"/>
    <mergeCell ref="A5:A9"/>
    <mergeCell ref="B5:B9"/>
    <mergeCell ref="C5:E5"/>
    <mergeCell ref="W5:Y5"/>
    <mergeCell ref="C6:C9"/>
    <mergeCell ref="D6:E6"/>
    <mergeCell ref="X6:Y6"/>
    <mergeCell ref="W6:W9"/>
    <mergeCell ref="A3:Y3"/>
    <mergeCell ref="N4:Y4"/>
    <mergeCell ref="Y7:Y9"/>
    <mergeCell ref="X7:X9"/>
    <mergeCell ref="H7:H9"/>
    <mergeCell ref="J7:L7"/>
  </mergeCells>
  <printOptions horizontalCentered="1"/>
  <pageMargins left="0.25" right="0.22" top="0.59055118110236204" bottom="0.78740157480314998" header="0.31496062992126" footer="0.31496062992126"/>
  <pageSetup paperSize="9" scale="60" firstPageNumber="32" orientation="landscape" useFirstPageNumber="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54"/>
  <sheetViews>
    <sheetView zoomScale="80" zoomScaleNormal="80" zoomScaleSheetLayoutView="85" zoomScalePageLayoutView="85" workbookViewId="0">
      <pane xSplit="5" ySplit="9" topLeftCell="F10" activePane="bottomRight" state="frozen"/>
      <selection pane="topRight" activeCell="F1" sqref="F1"/>
      <selection pane="bottomLeft" activeCell="A10" sqref="A10"/>
      <selection pane="bottomRight" activeCell="AA46" sqref="AA46"/>
    </sheetView>
  </sheetViews>
  <sheetFormatPr defaultColWidth="9.140625" defaultRowHeight="15.75" x14ac:dyDescent="0.25"/>
  <cols>
    <col min="1" max="1" width="6.85546875" style="112" customWidth="1"/>
    <col min="2" max="2" width="32.5703125" style="112" customWidth="1"/>
    <col min="3" max="3" width="11.5703125" style="112" hidden="1" customWidth="1"/>
    <col min="4" max="4" width="11.85546875" style="112" hidden="1" customWidth="1"/>
    <col min="5" max="5" width="12.28515625" style="112" hidden="1" customWidth="1"/>
    <col min="6" max="6" width="21.140625" style="112" customWidth="1"/>
    <col min="7" max="7" width="14.140625" style="412" customWidth="1"/>
    <col min="8" max="8" width="11.28515625" style="349" hidden="1" customWidth="1"/>
    <col min="9" max="9" width="13.28515625" style="349" hidden="1" customWidth="1"/>
    <col min="10" max="10" width="15.140625" style="349" hidden="1" customWidth="1"/>
    <col min="11" max="11" width="14.5703125" style="413" customWidth="1"/>
    <col min="12" max="12" width="0.140625" style="349" customWidth="1"/>
    <col min="13" max="13" width="14.42578125" style="412" customWidth="1"/>
    <col min="14" max="14" width="11.28515625" style="349" hidden="1" customWidth="1"/>
    <col min="15" max="15" width="14.28515625" style="349" hidden="1" customWidth="1"/>
    <col min="16" max="16" width="16.42578125" style="349" hidden="1" customWidth="1"/>
    <col min="17" max="17" width="14.28515625" style="413" customWidth="1"/>
    <col min="18" max="18" width="14.140625" style="412" customWidth="1"/>
    <col min="19" max="19" width="11.28515625" style="349" hidden="1" customWidth="1"/>
    <col min="20" max="20" width="12" style="349" hidden="1" customWidth="1"/>
    <col min="21" max="21" width="2" style="349" hidden="1" customWidth="1"/>
    <col min="22" max="22" width="14.28515625" style="413" customWidth="1"/>
    <col min="23" max="23" width="14.7109375" style="412" customWidth="1"/>
    <col min="24" max="24" width="12" style="349" hidden="1" customWidth="1"/>
    <col min="25" max="25" width="13.7109375" style="349" customWidth="1"/>
    <col min="26" max="26" width="15.140625" style="413" customWidth="1"/>
    <col min="27" max="27" width="14.5703125" style="412" customWidth="1"/>
    <col min="28" max="28" width="10.28515625" style="349" customWidth="1"/>
    <col min="29" max="29" width="12.85546875" style="349" customWidth="1"/>
    <col min="30" max="30" width="13.42578125" style="413" customWidth="1"/>
    <col min="31" max="31" width="9.140625" style="349" hidden="1" customWidth="1"/>
    <col min="32" max="32" width="12" style="437" hidden="1" customWidth="1"/>
    <col min="33" max="35" width="9.5703125" style="585" hidden="1" customWidth="1"/>
    <col min="36" max="37" width="9.140625" style="349" hidden="1" customWidth="1"/>
    <col min="38" max="38" width="1.7109375" style="349" hidden="1" customWidth="1"/>
    <col min="39" max="41" width="12.140625" style="349" hidden="1" customWidth="1"/>
    <col min="42" max="57" width="12" style="349" hidden="1" customWidth="1"/>
    <col min="58" max="58" width="9.140625" style="412" customWidth="1"/>
    <col min="59" max="59" width="11.28515625" style="349" hidden="1" customWidth="1"/>
    <col min="60" max="60" width="9.42578125" style="349" hidden="1" customWidth="1"/>
    <col min="61" max="61" width="10" style="349" hidden="1" customWidth="1"/>
    <col min="62" max="62" width="10.85546875" style="413" customWidth="1"/>
    <col min="63" max="63" width="9.140625" style="112"/>
    <col min="64" max="64" width="24.140625" style="112" customWidth="1"/>
    <col min="65" max="65" width="13.85546875" style="112" bestFit="1" customWidth="1"/>
    <col min="66" max="16384" width="9.140625" style="112"/>
  </cols>
  <sheetData>
    <row r="1" spans="1:65" x14ac:dyDescent="0.25">
      <c r="A1" s="414" t="str">
        <f>'48N'!A1</f>
        <v>UBND PHƯỜNG ĐỨC XUÂN</v>
      </c>
      <c r="B1" s="349"/>
      <c r="C1" s="349"/>
      <c r="D1" s="349"/>
      <c r="E1" s="349"/>
      <c r="F1" s="349"/>
      <c r="BF1" s="1827" t="s">
        <v>493</v>
      </c>
      <c r="BG1" s="1827"/>
      <c r="BH1" s="1827"/>
      <c r="BI1" s="1827"/>
      <c r="BJ1" s="1827"/>
    </row>
    <row r="2" spans="1:65" ht="26.25" customHeight="1" x14ac:dyDescent="0.25">
      <c r="A2" s="1837" t="s">
        <v>453</v>
      </c>
      <c r="B2" s="1837"/>
      <c r="C2" s="1837"/>
      <c r="D2" s="1837"/>
      <c r="E2" s="1837"/>
      <c r="F2" s="1837"/>
      <c r="G2" s="1837"/>
      <c r="H2" s="1837"/>
      <c r="I2" s="1837"/>
      <c r="J2" s="1837"/>
      <c r="K2" s="1837"/>
      <c r="L2" s="1837"/>
      <c r="M2" s="1837"/>
      <c r="N2" s="1837"/>
      <c r="O2" s="1837"/>
      <c r="P2" s="1837"/>
      <c r="Q2" s="1837"/>
      <c r="R2" s="1837"/>
      <c r="S2" s="1837"/>
      <c r="T2" s="1837"/>
      <c r="U2" s="1837"/>
      <c r="V2" s="1837"/>
      <c r="W2" s="1837"/>
      <c r="X2" s="1837"/>
      <c r="Y2" s="1837"/>
      <c r="Z2" s="1837"/>
      <c r="AA2" s="1837"/>
      <c r="AB2" s="1837"/>
      <c r="AC2" s="1837"/>
      <c r="AD2" s="1837"/>
      <c r="AF2" s="586"/>
      <c r="BF2" s="349"/>
      <c r="BJ2" s="349"/>
    </row>
    <row r="3" spans="1:65" ht="25.5" customHeight="1" x14ac:dyDescent="0.25">
      <c r="A3" s="1838" t="str">
        <f>'61N'!A3:Y3</f>
        <v>(Kèm theo Tờ trình số    /TTr-KTHT&amp;ĐT ngày      /4/2026 của phòng KTHT&amp;ĐT phường Đức Xuân)</v>
      </c>
      <c r="B3" s="1838"/>
      <c r="C3" s="1838"/>
      <c r="D3" s="1838"/>
      <c r="E3" s="1838"/>
      <c r="F3" s="1838"/>
      <c r="G3" s="1838"/>
      <c r="H3" s="1838"/>
      <c r="I3" s="1838"/>
      <c r="J3" s="1838"/>
      <c r="K3" s="1838"/>
      <c r="L3" s="1838"/>
      <c r="M3" s="1838"/>
      <c r="N3" s="1838"/>
      <c r="O3" s="1838"/>
      <c r="P3" s="1838"/>
      <c r="Q3" s="1838"/>
      <c r="R3" s="1838"/>
      <c r="S3" s="1838"/>
      <c r="T3" s="1838"/>
      <c r="U3" s="1838"/>
      <c r="V3" s="1838"/>
      <c r="W3" s="1838"/>
      <c r="X3" s="1838"/>
      <c r="Y3" s="1838"/>
      <c r="Z3" s="1838"/>
      <c r="AA3" s="1838"/>
      <c r="AB3" s="1838"/>
      <c r="AC3" s="1838"/>
      <c r="AD3" s="1838"/>
      <c r="BF3" s="349"/>
      <c r="BJ3" s="349"/>
    </row>
    <row r="4" spans="1:65" ht="33" customHeight="1" x14ac:dyDescent="0.25">
      <c r="A4" s="349"/>
      <c r="B4" s="349"/>
      <c r="C4" s="349"/>
      <c r="D4" s="349"/>
      <c r="E4" s="349"/>
      <c r="F4" s="349"/>
      <c r="AC4" s="596"/>
      <c r="AD4" s="1828" t="s">
        <v>433</v>
      </c>
      <c r="AE4" s="1828"/>
      <c r="AF4" s="1828"/>
      <c r="AG4" s="1828"/>
      <c r="AH4" s="1828"/>
      <c r="AI4" s="1828"/>
      <c r="AJ4" s="1828"/>
      <c r="AK4" s="1828"/>
      <c r="AL4" s="1828"/>
      <c r="AM4" s="1828"/>
      <c r="AN4" s="1828"/>
      <c r="AO4" s="1828"/>
      <c r="AP4" s="1828"/>
      <c r="AQ4" s="1828"/>
      <c r="AR4" s="1828"/>
      <c r="AS4" s="1828"/>
      <c r="AT4" s="1828"/>
      <c r="AU4" s="1828"/>
      <c r="AV4" s="1828"/>
      <c r="AW4" s="1828"/>
      <c r="AX4" s="1828"/>
      <c r="AY4" s="1828"/>
      <c r="AZ4" s="1828"/>
      <c r="BA4" s="1828"/>
      <c r="BB4" s="1828"/>
      <c r="BC4" s="1828"/>
      <c r="BD4" s="1828"/>
      <c r="BE4" s="1828"/>
      <c r="BF4" s="1828"/>
      <c r="BG4" s="1828"/>
      <c r="BH4" s="1828"/>
      <c r="BI4" s="1828"/>
      <c r="BJ4" s="1828"/>
    </row>
    <row r="5" spans="1:65" ht="32.25" customHeight="1" x14ac:dyDescent="0.25">
      <c r="A5" s="1829" t="s">
        <v>1</v>
      </c>
      <c r="B5" s="1829" t="s">
        <v>50</v>
      </c>
      <c r="C5" s="1829" t="s">
        <v>242</v>
      </c>
      <c r="D5" s="1829" t="s">
        <v>51</v>
      </c>
      <c r="E5" s="1829" t="s">
        <v>243</v>
      </c>
      <c r="F5" s="1829" t="s">
        <v>244</v>
      </c>
      <c r="G5" s="1829"/>
      <c r="H5" s="1829"/>
      <c r="I5" s="1829"/>
      <c r="J5" s="1829"/>
      <c r="K5" s="1829"/>
      <c r="L5" s="1829"/>
      <c r="M5" s="1829" t="s">
        <v>431</v>
      </c>
      <c r="N5" s="1829"/>
      <c r="O5" s="1829"/>
      <c r="P5" s="1829"/>
      <c r="Q5" s="1829"/>
      <c r="R5" s="1829" t="s">
        <v>432</v>
      </c>
      <c r="S5" s="1829"/>
      <c r="T5" s="1829"/>
      <c r="U5" s="1829"/>
      <c r="V5" s="1829"/>
      <c r="W5" s="1829" t="s">
        <v>3</v>
      </c>
      <c r="X5" s="1829"/>
      <c r="Y5" s="1829"/>
      <c r="Z5" s="1829"/>
      <c r="AA5" s="1829" t="s">
        <v>169</v>
      </c>
      <c r="AB5" s="1829"/>
      <c r="AC5" s="1829"/>
      <c r="AD5" s="1829"/>
      <c r="BF5" s="1829" t="s">
        <v>183</v>
      </c>
      <c r="BG5" s="1829"/>
      <c r="BH5" s="1829"/>
      <c r="BI5" s="1829"/>
      <c r="BJ5" s="1829"/>
    </row>
    <row r="6" spans="1:65" ht="37.5" customHeight="1" x14ac:dyDescent="0.25">
      <c r="A6" s="1829"/>
      <c r="B6" s="1829"/>
      <c r="C6" s="1829"/>
      <c r="D6" s="1829"/>
      <c r="E6" s="1829"/>
      <c r="F6" s="1829" t="s">
        <v>245</v>
      </c>
      <c r="G6" s="1829" t="s">
        <v>246</v>
      </c>
      <c r="H6" s="1829"/>
      <c r="I6" s="1829"/>
      <c r="J6" s="1829"/>
      <c r="K6" s="1829"/>
      <c r="L6" s="1829"/>
      <c r="M6" s="1830" t="s">
        <v>15</v>
      </c>
      <c r="N6" s="587"/>
      <c r="O6" s="1831" t="s">
        <v>247</v>
      </c>
      <c r="P6" s="1831"/>
      <c r="Q6" s="1832"/>
      <c r="R6" s="1830" t="s">
        <v>15</v>
      </c>
      <c r="S6" s="587"/>
      <c r="T6" s="1831" t="s">
        <v>247</v>
      </c>
      <c r="U6" s="1831"/>
      <c r="V6" s="1832"/>
      <c r="W6" s="1830" t="s">
        <v>15</v>
      </c>
      <c r="X6" s="1831" t="s">
        <v>247</v>
      </c>
      <c r="Y6" s="1831"/>
      <c r="Z6" s="1832"/>
      <c r="AA6" s="1830" t="s">
        <v>15</v>
      </c>
      <c r="AB6" s="1831" t="s">
        <v>247</v>
      </c>
      <c r="AC6" s="1831"/>
      <c r="AD6" s="1832"/>
      <c r="BF6" s="1830" t="s">
        <v>15</v>
      </c>
      <c r="BG6" s="587"/>
      <c r="BH6" s="1831" t="s">
        <v>247</v>
      </c>
      <c r="BI6" s="1831"/>
      <c r="BJ6" s="1832"/>
    </row>
    <row r="7" spans="1:65" ht="33.75" customHeight="1" x14ac:dyDescent="0.25">
      <c r="A7" s="1829"/>
      <c r="B7" s="1829"/>
      <c r="C7" s="1829"/>
      <c r="D7" s="1829"/>
      <c r="E7" s="1829"/>
      <c r="F7" s="1829"/>
      <c r="G7" s="1830" t="s">
        <v>53</v>
      </c>
      <c r="H7" s="1829" t="s">
        <v>247</v>
      </c>
      <c r="I7" s="1829"/>
      <c r="J7" s="1829"/>
      <c r="K7" s="1829"/>
      <c r="L7" s="1829"/>
      <c r="M7" s="1830"/>
      <c r="N7" s="591"/>
      <c r="O7" s="1833" t="s">
        <v>249</v>
      </c>
      <c r="P7" s="1833" t="s">
        <v>272</v>
      </c>
      <c r="Q7" s="1835" t="s">
        <v>435</v>
      </c>
      <c r="R7" s="1830"/>
      <c r="S7" s="591"/>
      <c r="T7" s="1833" t="s">
        <v>249</v>
      </c>
      <c r="U7" s="1833" t="s">
        <v>272</v>
      </c>
      <c r="V7" s="1835" t="s">
        <v>435</v>
      </c>
      <c r="W7" s="1830"/>
      <c r="X7" s="1833" t="s">
        <v>249</v>
      </c>
      <c r="Y7" s="1833" t="s">
        <v>272</v>
      </c>
      <c r="Z7" s="1835" t="s">
        <v>435</v>
      </c>
      <c r="AA7" s="1830"/>
      <c r="AB7" s="1833" t="s">
        <v>249</v>
      </c>
      <c r="AC7" s="1833" t="s">
        <v>272</v>
      </c>
      <c r="AD7" s="1835" t="s">
        <v>435</v>
      </c>
      <c r="BF7" s="1830"/>
      <c r="BG7" s="591"/>
      <c r="BH7" s="1833" t="s">
        <v>249</v>
      </c>
      <c r="BI7" s="1833" t="s">
        <v>272</v>
      </c>
      <c r="BJ7" s="1835" t="s">
        <v>435</v>
      </c>
    </row>
    <row r="8" spans="1:65" ht="72.75" customHeight="1" x14ac:dyDescent="0.25">
      <c r="A8" s="1829"/>
      <c r="B8" s="1829"/>
      <c r="C8" s="1829"/>
      <c r="D8" s="1829"/>
      <c r="E8" s="1829"/>
      <c r="F8" s="1829"/>
      <c r="G8" s="1830"/>
      <c r="H8" s="582" t="s">
        <v>248</v>
      </c>
      <c r="I8" s="582" t="s">
        <v>249</v>
      </c>
      <c r="J8" s="582" t="s">
        <v>272</v>
      </c>
      <c r="K8" s="376" t="s">
        <v>434</v>
      </c>
      <c r="L8" s="582" t="s">
        <v>264</v>
      </c>
      <c r="M8" s="1830"/>
      <c r="N8" s="592" t="s">
        <v>248</v>
      </c>
      <c r="O8" s="1834"/>
      <c r="P8" s="1834"/>
      <c r="Q8" s="1836"/>
      <c r="R8" s="1830"/>
      <c r="S8" s="592" t="s">
        <v>248</v>
      </c>
      <c r="T8" s="1834"/>
      <c r="U8" s="1834"/>
      <c r="V8" s="1836"/>
      <c r="W8" s="1830"/>
      <c r="X8" s="1834"/>
      <c r="Y8" s="1834"/>
      <c r="Z8" s="1836"/>
      <c r="AA8" s="1830"/>
      <c r="AB8" s="1834"/>
      <c r="AC8" s="1834"/>
      <c r="AD8" s="1836"/>
      <c r="BF8" s="1830"/>
      <c r="BG8" s="592" t="s">
        <v>248</v>
      </c>
      <c r="BH8" s="1834"/>
      <c r="BI8" s="1834"/>
      <c r="BJ8" s="1836"/>
    </row>
    <row r="9" spans="1:65" s="761" customFormat="1" ht="20.25" customHeight="1" x14ac:dyDescent="0.25">
      <c r="A9" s="760" t="s">
        <v>4</v>
      </c>
      <c r="B9" s="760" t="s">
        <v>5</v>
      </c>
      <c r="C9" s="760">
        <v>1</v>
      </c>
      <c r="D9" s="760">
        <v>2</v>
      </c>
      <c r="E9" s="760">
        <v>3</v>
      </c>
      <c r="F9" s="760">
        <v>1</v>
      </c>
      <c r="G9" s="760">
        <v>2</v>
      </c>
      <c r="H9" s="760">
        <v>6</v>
      </c>
      <c r="I9" s="760">
        <v>7</v>
      </c>
      <c r="J9" s="760">
        <v>8</v>
      </c>
      <c r="K9" s="760">
        <v>3</v>
      </c>
      <c r="L9" s="760">
        <v>4</v>
      </c>
      <c r="M9" s="760">
        <v>4</v>
      </c>
      <c r="N9" s="760">
        <v>6</v>
      </c>
      <c r="O9" s="760">
        <v>7</v>
      </c>
      <c r="P9" s="760">
        <v>8</v>
      </c>
      <c r="Q9" s="760">
        <v>5</v>
      </c>
      <c r="R9" s="760">
        <v>6</v>
      </c>
      <c r="S9" s="760">
        <v>6</v>
      </c>
      <c r="T9" s="760">
        <v>7</v>
      </c>
      <c r="U9" s="760">
        <v>8</v>
      </c>
      <c r="V9" s="760">
        <v>7</v>
      </c>
      <c r="W9" s="760">
        <v>8</v>
      </c>
      <c r="X9" s="760">
        <v>7</v>
      </c>
      <c r="Y9" s="760">
        <v>8</v>
      </c>
      <c r="Z9" s="760">
        <v>9</v>
      </c>
      <c r="AA9" s="760">
        <v>10</v>
      </c>
      <c r="AB9" s="760">
        <v>7</v>
      </c>
      <c r="AC9" s="760">
        <v>8</v>
      </c>
      <c r="AD9" s="760">
        <v>11</v>
      </c>
      <c r="AE9" s="760"/>
      <c r="AF9" s="760"/>
      <c r="AG9" s="760"/>
      <c r="AH9" s="760"/>
      <c r="AI9" s="760"/>
      <c r="AJ9" s="760"/>
      <c r="AK9" s="760"/>
      <c r="AL9" s="760"/>
      <c r="AM9" s="760"/>
      <c r="AN9" s="760"/>
      <c r="AO9" s="760"/>
      <c r="AP9" s="760"/>
      <c r="AQ9" s="760"/>
      <c r="AR9" s="760"/>
      <c r="AS9" s="760"/>
      <c r="AT9" s="760"/>
      <c r="AU9" s="760"/>
      <c r="AV9" s="760"/>
      <c r="AW9" s="760"/>
      <c r="AX9" s="760"/>
      <c r="AY9" s="760"/>
      <c r="AZ9" s="760"/>
      <c r="BA9" s="760"/>
      <c r="BB9" s="760"/>
      <c r="BC9" s="760"/>
      <c r="BD9" s="760"/>
      <c r="BE9" s="760"/>
      <c r="BF9" s="760">
        <v>12</v>
      </c>
      <c r="BG9" s="760">
        <v>6</v>
      </c>
      <c r="BH9" s="760">
        <v>7</v>
      </c>
      <c r="BI9" s="760">
        <v>8</v>
      </c>
      <c r="BJ9" s="760">
        <v>13</v>
      </c>
    </row>
    <row r="10" spans="1:65" s="705" customFormat="1" ht="22.15" customHeight="1" x14ac:dyDescent="0.2">
      <c r="A10" s="700"/>
      <c r="B10" s="380" t="s">
        <v>31</v>
      </c>
      <c r="C10" s="380"/>
      <c r="D10" s="380"/>
      <c r="E10" s="380"/>
      <c r="F10" s="380"/>
      <c r="G10" s="730">
        <f t="shared" ref="G10:AD10" si="0">G11+G28+G39+G45</f>
        <v>41372700</v>
      </c>
      <c r="H10" s="730">
        <f t="shared" si="0"/>
        <v>0</v>
      </c>
      <c r="I10" s="730">
        <f t="shared" si="0"/>
        <v>698000</v>
      </c>
      <c r="J10" s="730">
        <f t="shared" si="0"/>
        <v>8159000</v>
      </c>
      <c r="K10" s="730">
        <f t="shared" si="0"/>
        <v>32515700</v>
      </c>
      <c r="L10" s="730">
        <f t="shared" si="0"/>
        <v>0</v>
      </c>
      <c r="M10" s="730">
        <f t="shared" si="0"/>
        <v>73600241.396000013</v>
      </c>
      <c r="N10" s="730">
        <f t="shared" si="0"/>
        <v>0</v>
      </c>
      <c r="O10" s="730">
        <f t="shared" si="0"/>
        <v>698000</v>
      </c>
      <c r="P10" s="730">
        <f t="shared" si="0"/>
        <v>2732481.375</v>
      </c>
      <c r="Q10" s="730">
        <f t="shared" si="0"/>
        <v>70169760.020999998</v>
      </c>
      <c r="R10" s="730">
        <f t="shared" si="0"/>
        <v>72131586.775000006</v>
      </c>
      <c r="S10" s="730">
        <f t="shared" si="0"/>
        <v>0</v>
      </c>
      <c r="T10" s="730">
        <f t="shared" si="0"/>
        <v>0</v>
      </c>
      <c r="U10" s="730">
        <f t="shared" si="0"/>
        <v>2719000</v>
      </c>
      <c r="V10" s="730">
        <f t="shared" si="0"/>
        <v>69412586.775000006</v>
      </c>
      <c r="W10" s="730">
        <f t="shared" si="0"/>
        <v>15925200</v>
      </c>
      <c r="X10" s="730">
        <f t="shared" si="0"/>
        <v>0</v>
      </c>
      <c r="Y10" s="730">
        <f t="shared" si="0"/>
        <v>2719000</v>
      </c>
      <c r="Z10" s="730">
        <f t="shared" si="0"/>
        <v>13206200</v>
      </c>
      <c r="AA10" s="730">
        <f>AA11+AA28+AA39+AA45</f>
        <v>19110564.173</v>
      </c>
      <c r="AB10" s="730">
        <f t="shared" si="0"/>
        <v>54000</v>
      </c>
      <c r="AC10" s="730">
        <f t="shared" si="0"/>
        <v>2725516.48</v>
      </c>
      <c r="AD10" s="730">
        <f t="shared" si="0"/>
        <v>16331047.693</v>
      </c>
      <c r="AE10" s="701"/>
      <c r="AF10" s="702"/>
      <c r="AG10" s="703"/>
      <c r="AH10" s="703"/>
      <c r="AI10" s="703"/>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4">
        <f t="shared" ref="BF10:BF27" si="1">AA10/W10</f>
        <v>1.2000203559766911</v>
      </c>
      <c r="BG10" s="704" t="e">
        <f>#REF!/#REF!</f>
        <v>#REF!</v>
      </c>
      <c r="BH10" s="704"/>
      <c r="BI10" s="704">
        <f t="shared" ref="BI10:BJ14" si="2">AC10/Y10</f>
        <v>1.0023966458256712</v>
      </c>
      <c r="BJ10" s="704">
        <f t="shared" si="2"/>
        <v>1.2366197462555466</v>
      </c>
    </row>
    <row r="11" spans="1:65" s="705" customFormat="1" ht="36.75" customHeight="1" x14ac:dyDescent="0.2">
      <c r="A11" s="706" t="s">
        <v>4</v>
      </c>
      <c r="B11" s="707" t="s">
        <v>429</v>
      </c>
      <c r="C11" s="706"/>
      <c r="D11" s="708"/>
      <c r="E11" s="709"/>
      <c r="F11" s="710"/>
      <c r="G11" s="762">
        <f>G12+G17+G22+G25</f>
        <v>37842000</v>
      </c>
      <c r="H11" s="762">
        <f t="shared" ref="H11:AD11" si="3">H12+H17+H22+H25</f>
        <v>0</v>
      </c>
      <c r="I11" s="762">
        <f t="shared" si="3"/>
        <v>0</v>
      </c>
      <c r="J11" s="762">
        <f t="shared" si="3"/>
        <v>8119000</v>
      </c>
      <c r="K11" s="762">
        <f t="shared" si="3"/>
        <v>29723000</v>
      </c>
      <c r="L11" s="762">
        <f t="shared" si="3"/>
        <v>0</v>
      </c>
      <c r="M11" s="762">
        <f t="shared" si="3"/>
        <v>18087424.831</v>
      </c>
      <c r="N11" s="762">
        <f t="shared" si="3"/>
        <v>0</v>
      </c>
      <c r="O11" s="762">
        <f t="shared" si="3"/>
        <v>0</v>
      </c>
      <c r="P11" s="762">
        <f t="shared" si="3"/>
        <v>2718551.585</v>
      </c>
      <c r="Q11" s="762">
        <f t="shared" si="3"/>
        <v>15368873.245999999</v>
      </c>
      <c r="R11" s="762">
        <f t="shared" si="3"/>
        <v>16961700</v>
      </c>
      <c r="S11" s="762">
        <f t="shared" si="3"/>
        <v>0</v>
      </c>
      <c r="T11" s="762">
        <f t="shared" si="3"/>
        <v>0</v>
      </c>
      <c r="U11" s="762">
        <f t="shared" si="3"/>
        <v>2719000</v>
      </c>
      <c r="V11" s="762">
        <f t="shared" si="3"/>
        <v>14242700</v>
      </c>
      <c r="W11" s="762">
        <f t="shared" si="3"/>
        <v>15925200</v>
      </c>
      <c r="X11" s="762">
        <f t="shared" si="3"/>
        <v>0</v>
      </c>
      <c r="Y11" s="762">
        <f t="shared" si="3"/>
        <v>2719000</v>
      </c>
      <c r="Z11" s="762">
        <f t="shared" si="3"/>
        <v>13206200</v>
      </c>
      <c r="AA11" s="762">
        <f>AA12+AA17+AA22+AA25</f>
        <v>15861512.562000001</v>
      </c>
      <c r="AB11" s="762">
        <f t="shared" si="3"/>
        <v>0</v>
      </c>
      <c r="AC11" s="762">
        <f t="shared" si="3"/>
        <v>2718551.585</v>
      </c>
      <c r="AD11" s="762">
        <f t="shared" si="3"/>
        <v>13142960.977</v>
      </c>
      <c r="AE11" s="701"/>
      <c r="AF11" s="702"/>
      <c r="AG11" s="711"/>
      <c r="AH11" s="711"/>
      <c r="AI11" s="711"/>
      <c r="AJ11" s="701"/>
      <c r="AK11" s="701"/>
      <c r="AL11" s="701"/>
      <c r="AM11" s="701"/>
      <c r="AN11" s="701"/>
      <c r="AO11" s="701"/>
      <c r="AP11" s="701"/>
      <c r="AQ11" s="701"/>
      <c r="AR11" s="701"/>
      <c r="AS11" s="701"/>
      <c r="AT11" s="701"/>
      <c r="AU11" s="701"/>
      <c r="AV11" s="701"/>
      <c r="AW11" s="701"/>
      <c r="AX11" s="701"/>
      <c r="AY11" s="701"/>
      <c r="AZ11" s="701"/>
      <c r="BA11" s="701"/>
      <c r="BB11" s="701"/>
      <c r="BC11" s="701"/>
      <c r="BD11" s="701"/>
      <c r="BE11" s="701"/>
      <c r="BF11" s="704">
        <f t="shared" si="1"/>
        <v>0.99600083904754733</v>
      </c>
      <c r="BG11" s="704" t="e">
        <f>#REF!/#REF!</f>
        <v>#REF!</v>
      </c>
      <c r="BH11" s="704"/>
      <c r="BI11" s="704">
        <f t="shared" si="2"/>
        <v>0.99983508091210005</v>
      </c>
      <c r="BJ11" s="704">
        <f t="shared" si="2"/>
        <v>0.99521141410852476</v>
      </c>
      <c r="BM11" s="917"/>
    </row>
    <row r="12" spans="1:65" s="705" customFormat="1" ht="32.25" customHeight="1" x14ac:dyDescent="0.2">
      <c r="A12" s="712" t="s">
        <v>6</v>
      </c>
      <c r="B12" s="713" t="s">
        <v>654</v>
      </c>
      <c r="C12" s="714"/>
      <c r="D12" s="714"/>
      <c r="E12" s="714"/>
      <c r="F12" s="714"/>
      <c r="G12" s="763">
        <f t="shared" ref="G12:AD12" si="4">G13</f>
        <v>22657000</v>
      </c>
      <c r="H12" s="763">
        <f t="shared" si="4"/>
        <v>0</v>
      </c>
      <c r="I12" s="763">
        <f t="shared" si="4"/>
        <v>0</v>
      </c>
      <c r="J12" s="763">
        <f t="shared" si="4"/>
        <v>8119000</v>
      </c>
      <c r="K12" s="763">
        <f t="shared" si="4"/>
        <v>14538000</v>
      </c>
      <c r="L12" s="763">
        <f t="shared" si="4"/>
        <v>0</v>
      </c>
      <c r="M12" s="763">
        <f t="shared" si="4"/>
        <v>11318839.354</v>
      </c>
      <c r="N12" s="763">
        <f t="shared" si="4"/>
        <v>0</v>
      </c>
      <c r="O12" s="763">
        <f t="shared" si="4"/>
        <v>0</v>
      </c>
      <c r="P12" s="763">
        <f t="shared" si="4"/>
        <v>2718551.585</v>
      </c>
      <c r="Q12" s="763">
        <f t="shared" si="4"/>
        <v>8600287.7689999994</v>
      </c>
      <c r="R12" s="763">
        <f t="shared" si="4"/>
        <v>10922000</v>
      </c>
      <c r="S12" s="763">
        <f t="shared" si="4"/>
        <v>0</v>
      </c>
      <c r="T12" s="763">
        <f t="shared" si="4"/>
        <v>0</v>
      </c>
      <c r="U12" s="763">
        <f t="shared" si="4"/>
        <v>2719000</v>
      </c>
      <c r="V12" s="763">
        <f t="shared" si="4"/>
        <v>8203000</v>
      </c>
      <c r="W12" s="763">
        <f t="shared" si="4"/>
        <v>10922000</v>
      </c>
      <c r="X12" s="763">
        <f t="shared" si="4"/>
        <v>0</v>
      </c>
      <c r="Y12" s="763">
        <f t="shared" si="4"/>
        <v>2719000</v>
      </c>
      <c r="Z12" s="763">
        <f t="shared" si="4"/>
        <v>8203000</v>
      </c>
      <c r="AA12" s="763">
        <f>AA13</f>
        <v>10889427.085000001</v>
      </c>
      <c r="AB12" s="763">
        <f t="shared" si="4"/>
        <v>0</v>
      </c>
      <c r="AC12" s="763">
        <f t="shared" si="4"/>
        <v>2718551.585</v>
      </c>
      <c r="AD12" s="763">
        <f t="shared" si="4"/>
        <v>8170875.5</v>
      </c>
      <c r="AE12" s="701"/>
      <c r="AF12" s="715"/>
      <c r="AG12" s="716"/>
      <c r="AH12" s="716"/>
      <c r="AI12" s="716"/>
      <c r="AJ12" s="701"/>
      <c r="AK12" s="701"/>
      <c r="AL12" s="701"/>
      <c r="AM12" s="701"/>
      <c r="AN12" s="701"/>
      <c r="AO12" s="701"/>
      <c r="AP12" s="701"/>
      <c r="AQ12" s="701"/>
      <c r="AR12" s="701"/>
      <c r="AS12" s="701"/>
      <c r="AT12" s="701"/>
      <c r="AU12" s="701"/>
      <c r="AV12" s="701"/>
      <c r="AW12" s="701"/>
      <c r="AX12" s="701"/>
      <c r="AY12" s="701"/>
      <c r="AZ12" s="701"/>
      <c r="BA12" s="701"/>
      <c r="BB12" s="701"/>
      <c r="BC12" s="701"/>
      <c r="BD12" s="701"/>
      <c r="BE12" s="701"/>
      <c r="BF12" s="717">
        <f t="shared" si="1"/>
        <v>0.99701767853872925</v>
      </c>
      <c r="BG12" s="717" t="e">
        <f>#REF!/#REF!</f>
        <v>#REF!</v>
      </c>
      <c r="BH12" s="717"/>
      <c r="BI12" s="717">
        <f t="shared" si="2"/>
        <v>0.99983508091210005</v>
      </c>
      <c r="BJ12" s="717">
        <f t="shared" si="2"/>
        <v>0.99608381080092645</v>
      </c>
    </row>
    <row r="13" spans="1:65" s="705" customFormat="1" ht="22.15" customHeight="1" x14ac:dyDescent="0.2">
      <c r="A13" s="718"/>
      <c r="B13" s="719" t="s">
        <v>322</v>
      </c>
      <c r="C13" s="380"/>
      <c r="D13" s="380"/>
      <c r="E13" s="380"/>
      <c r="F13" s="380"/>
      <c r="G13" s="764">
        <f>SUM(G14:G16)</f>
        <v>22657000</v>
      </c>
      <c r="H13" s="764">
        <f t="shared" ref="H13:AD13" si="5">SUM(H14:H16)</f>
        <v>0</v>
      </c>
      <c r="I13" s="764">
        <f t="shared" si="5"/>
        <v>0</v>
      </c>
      <c r="J13" s="764">
        <f t="shared" si="5"/>
        <v>8119000</v>
      </c>
      <c r="K13" s="764">
        <f t="shared" si="5"/>
        <v>14538000</v>
      </c>
      <c r="L13" s="764">
        <f t="shared" si="5"/>
        <v>0</v>
      </c>
      <c r="M13" s="764">
        <f t="shared" si="5"/>
        <v>11318839.354</v>
      </c>
      <c r="N13" s="764">
        <f t="shared" si="5"/>
        <v>0</v>
      </c>
      <c r="O13" s="764">
        <f t="shared" si="5"/>
        <v>0</v>
      </c>
      <c r="P13" s="764">
        <f t="shared" si="5"/>
        <v>2718551.585</v>
      </c>
      <c r="Q13" s="764">
        <f t="shared" si="5"/>
        <v>8600287.7689999994</v>
      </c>
      <c r="R13" s="764">
        <f t="shared" si="5"/>
        <v>10922000</v>
      </c>
      <c r="S13" s="764">
        <f t="shared" si="5"/>
        <v>0</v>
      </c>
      <c r="T13" s="764">
        <f t="shared" si="5"/>
        <v>0</v>
      </c>
      <c r="U13" s="764">
        <f t="shared" si="5"/>
        <v>2719000</v>
      </c>
      <c r="V13" s="764">
        <f t="shared" si="5"/>
        <v>8203000</v>
      </c>
      <c r="W13" s="764">
        <f t="shared" si="5"/>
        <v>10922000</v>
      </c>
      <c r="X13" s="764">
        <f t="shared" si="5"/>
        <v>0</v>
      </c>
      <c r="Y13" s="764">
        <f t="shared" si="5"/>
        <v>2719000</v>
      </c>
      <c r="Z13" s="764">
        <f t="shared" si="5"/>
        <v>8203000</v>
      </c>
      <c r="AA13" s="764">
        <f>SUM(AA14:AA16)</f>
        <v>10889427.085000001</v>
      </c>
      <c r="AB13" s="764">
        <f t="shared" si="5"/>
        <v>0</v>
      </c>
      <c r="AC13" s="764">
        <f t="shared" si="5"/>
        <v>2718551.585</v>
      </c>
      <c r="AD13" s="764">
        <f t="shared" si="5"/>
        <v>8170875.5</v>
      </c>
      <c r="AE13" s="702"/>
      <c r="AF13" s="702"/>
      <c r="AG13" s="711"/>
      <c r="AH13" s="711"/>
      <c r="AI13" s="711"/>
      <c r="AJ13" s="702"/>
      <c r="AK13" s="702"/>
      <c r="AL13" s="702"/>
      <c r="AM13" s="702"/>
      <c r="AN13" s="702"/>
      <c r="AO13" s="702"/>
      <c r="AP13" s="702"/>
      <c r="AQ13" s="702"/>
      <c r="AR13" s="702"/>
      <c r="AS13" s="702"/>
      <c r="AT13" s="702"/>
      <c r="AU13" s="702"/>
      <c r="AV13" s="702"/>
      <c r="AW13" s="702"/>
      <c r="AX13" s="702"/>
      <c r="AY13" s="702"/>
      <c r="AZ13" s="702"/>
      <c r="BA13" s="702"/>
      <c r="BB13" s="702"/>
      <c r="BC13" s="702"/>
      <c r="BD13" s="702"/>
      <c r="BE13" s="702"/>
      <c r="BF13" s="720">
        <f t="shared" si="1"/>
        <v>0.99701767853872925</v>
      </c>
      <c r="BG13" s="720" t="e">
        <f>#REF!/#REF!</f>
        <v>#REF!</v>
      </c>
      <c r="BH13" s="720"/>
      <c r="BI13" s="720">
        <f t="shared" si="2"/>
        <v>0.99983508091210005</v>
      </c>
      <c r="BJ13" s="720">
        <f t="shared" si="2"/>
        <v>0.99608381080092645</v>
      </c>
      <c r="BL13" s="917"/>
    </row>
    <row r="14" spans="1:65" s="125" customFormat="1" ht="75.75" customHeight="1" x14ac:dyDescent="0.2">
      <c r="A14" s="688">
        <v>1</v>
      </c>
      <c r="B14" s="721" t="s">
        <v>430</v>
      </c>
      <c r="C14" s="688"/>
      <c r="D14" s="688"/>
      <c r="E14" s="688"/>
      <c r="F14" s="699" t="s">
        <v>499</v>
      </c>
      <c r="G14" s="722">
        <f>SUM(H14:L14)</f>
        <v>14822000</v>
      </c>
      <c r="H14" s="765"/>
      <c r="I14" s="765"/>
      <c r="J14" s="765">
        <v>8119000</v>
      </c>
      <c r="K14" s="766">
        <v>6703000</v>
      </c>
      <c r="L14" s="765"/>
      <c r="M14" s="722">
        <f>SUM(N14:Q14)</f>
        <v>8629427.0850000009</v>
      </c>
      <c r="N14" s="765"/>
      <c r="O14" s="765"/>
      <c r="P14" s="765">
        <v>2718551.585</v>
      </c>
      <c r="Q14" s="766">
        <v>5910875.5</v>
      </c>
      <c r="R14" s="722">
        <f>SUM(S14:V14)</f>
        <v>8662000</v>
      </c>
      <c r="S14" s="765"/>
      <c r="T14" s="765"/>
      <c r="U14" s="765">
        <v>2719000</v>
      </c>
      <c r="V14" s="766">
        <v>5943000</v>
      </c>
      <c r="W14" s="722">
        <f>SUM(X14:Z14)</f>
        <v>8662000</v>
      </c>
      <c r="X14" s="765"/>
      <c r="Y14" s="765">
        <v>2719000</v>
      </c>
      <c r="Z14" s="766">
        <v>5943000</v>
      </c>
      <c r="AA14" s="722">
        <f>SUM(AB14:AK14)</f>
        <v>8629427.0850000009</v>
      </c>
      <c r="AB14" s="765"/>
      <c r="AC14" s="765">
        <v>2718551.585</v>
      </c>
      <c r="AD14" s="766">
        <v>5910875.5</v>
      </c>
      <c r="AE14" s="723"/>
      <c r="AF14" s="724" t="s">
        <v>395</v>
      </c>
      <c r="AG14" s="725" t="s">
        <v>396</v>
      </c>
      <c r="AH14" s="725"/>
      <c r="AI14" s="725"/>
      <c r="AJ14" s="724"/>
      <c r="AK14" s="724"/>
      <c r="AL14" s="724"/>
      <c r="AM14" s="724"/>
      <c r="AN14" s="724"/>
      <c r="AO14" s="724"/>
      <c r="AP14" s="724"/>
      <c r="AQ14" s="724"/>
      <c r="AR14" s="724"/>
      <c r="AS14" s="724"/>
      <c r="AT14" s="724"/>
      <c r="AU14" s="724"/>
      <c r="AV14" s="724"/>
      <c r="AW14" s="724"/>
      <c r="AX14" s="724"/>
      <c r="AY14" s="724"/>
      <c r="AZ14" s="724"/>
      <c r="BA14" s="724"/>
      <c r="BB14" s="724"/>
      <c r="BC14" s="724"/>
      <c r="BD14" s="724"/>
      <c r="BE14" s="724"/>
      <c r="BF14" s="726">
        <f t="shared" si="1"/>
        <v>0.99623956187947371</v>
      </c>
      <c r="BG14" s="726" t="e">
        <f>#REF!/#REF!</f>
        <v>#REF!</v>
      </c>
      <c r="BH14" s="726"/>
      <c r="BI14" s="726">
        <f t="shared" si="2"/>
        <v>0.99983508091210005</v>
      </c>
      <c r="BJ14" s="726">
        <f t="shared" si="2"/>
        <v>0.99459456503449439</v>
      </c>
    </row>
    <row r="15" spans="1:65" s="125" customFormat="1" ht="44.25" customHeight="1" x14ac:dyDescent="0.2">
      <c r="A15" s="688">
        <v>2</v>
      </c>
      <c r="B15" s="721" t="s">
        <v>436</v>
      </c>
      <c r="C15" s="688"/>
      <c r="D15" s="688"/>
      <c r="E15" s="688"/>
      <c r="F15" s="699" t="s">
        <v>495</v>
      </c>
      <c r="G15" s="722">
        <f t="shared" ref="G15" si="6">SUM(H15:L15)</f>
        <v>5115000</v>
      </c>
      <c r="H15" s="765"/>
      <c r="I15" s="765"/>
      <c r="J15" s="765"/>
      <c r="K15" s="766">
        <v>5115000</v>
      </c>
      <c r="L15" s="767"/>
      <c r="M15" s="722">
        <f t="shared" ref="M15" si="7">SUM(N15:Q15)</f>
        <v>0</v>
      </c>
      <c r="N15" s="765"/>
      <c r="O15" s="765"/>
      <c r="P15" s="765"/>
      <c r="Q15" s="766"/>
      <c r="R15" s="722">
        <f t="shared" ref="R15" si="8">SUM(S15:V15)</f>
        <v>1500000</v>
      </c>
      <c r="S15" s="765"/>
      <c r="T15" s="765"/>
      <c r="U15" s="765"/>
      <c r="V15" s="766">
        <v>1500000</v>
      </c>
      <c r="W15" s="722">
        <f>SUM(X15:Z15)</f>
        <v>1500000</v>
      </c>
      <c r="X15" s="765"/>
      <c r="Y15" s="765"/>
      <c r="Z15" s="766">
        <v>1500000</v>
      </c>
      <c r="AA15" s="722">
        <f>SUM(AB15:AK15)</f>
        <v>1500000</v>
      </c>
      <c r="AB15" s="765"/>
      <c r="AC15" s="765"/>
      <c r="AD15" s="766">
        <v>1500000</v>
      </c>
      <c r="AE15" s="723"/>
      <c r="AF15" s="724" t="s">
        <v>395</v>
      </c>
      <c r="AG15" s="725"/>
      <c r="AH15" s="725" t="s">
        <v>371</v>
      </c>
      <c r="AI15" s="725" t="s">
        <v>397</v>
      </c>
      <c r="AJ15" s="724"/>
      <c r="AK15" s="724"/>
      <c r="AL15" s="724"/>
      <c r="AM15" s="724"/>
      <c r="AN15" s="724"/>
      <c r="AO15" s="724"/>
      <c r="AP15" s="724"/>
      <c r="AQ15" s="724"/>
      <c r="AR15" s="724"/>
      <c r="AS15" s="724"/>
      <c r="AT15" s="724"/>
      <c r="AU15" s="724"/>
      <c r="AV15" s="724"/>
      <c r="AW15" s="724"/>
      <c r="AX15" s="724"/>
      <c r="AY15" s="724"/>
      <c r="AZ15" s="724"/>
      <c r="BA15" s="724"/>
      <c r="BB15" s="724"/>
      <c r="BC15" s="724"/>
      <c r="BD15" s="724"/>
      <c r="BE15" s="724"/>
      <c r="BF15" s="726">
        <f t="shared" si="1"/>
        <v>1</v>
      </c>
      <c r="BG15" s="726" t="e">
        <f>#REF!/#REF!</f>
        <v>#REF!</v>
      </c>
      <c r="BH15" s="726"/>
      <c r="BI15" s="726"/>
      <c r="BJ15" s="726">
        <f t="shared" ref="BJ15:BJ27" si="9">AD15/Z15</f>
        <v>1</v>
      </c>
    </row>
    <row r="16" spans="1:65" s="701" customFormat="1" ht="61.5" customHeight="1" x14ac:dyDescent="0.2">
      <c r="A16" s="729">
        <v>3</v>
      </c>
      <c r="B16" s="732" t="s">
        <v>437</v>
      </c>
      <c r="C16" s="380"/>
      <c r="D16" s="380"/>
      <c r="E16" s="729"/>
      <c r="F16" s="699" t="s">
        <v>500</v>
      </c>
      <c r="G16" s="722">
        <f>SUM(H16:L16)</f>
        <v>2720000</v>
      </c>
      <c r="H16" s="765"/>
      <c r="I16" s="765"/>
      <c r="J16" s="765"/>
      <c r="K16" s="766">
        <v>2720000</v>
      </c>
      <c r="L16" s="768"/>
      <c r="M16" s="722">
        <f>SUM(N16:Q16)</f>
        <v>2689412.2689999999</v>
      </c>
      <c r="N16" s="768"/>
      <c r="O16" s="768"/>
      <c r="P16" s="768"/>
      <c r="Q16" s="768">
        <v>2689412.2689999999</v>
      </c>
      <c r="R16" s="722">
        <f>SUM(S16:V16)</f>
        <v>760000</v>
      </c>
      <c r="S16" s="768"/>
      <c r="T16" s="768"/>
      <c r="U16" s="768"/>
      <c r="V16" s="768">
        <v>760000</v>
      </c>
      <c r="W16" s="722">
        <f>SUM(X16:Z16)</f>
        <v>760000</v>
      </c>
      <c r="X16" s="768"/>
      <c r="Y16" s="768"/>
      <c r="Z16" s="768">
        <v>760000</v>
      </c>
      <c r="AA16" s="722">
        <f>SUM(AB16:AK16)</f>
        <v>760000</v>
      </c>
      <c r="AB16" s="768"/>
      <c r="AC16" s="768"/>
      <c r="AD16" s="768">
        <v>760000</v>
      </c>
      <c r="AE16" s="702"/>
      <c r="AF16" s="733" t="s">
        <v>381</v>
      </c>
      <c r="AG16" s="731"/>
      <c r="AH16" s="731" t="s">
        <v>371</v>
      </c>
      <c r="AI16" s="731"/>
      <c r="AJ16" s="702"/>
      <c r="AK16" s="702"/>
      <c r="AL16" s="702"/>
      <c r="AM16" s="702"/>
      <c r="AN16" s="702"/>
      <c r="AO16" s="702"/>
      <c r="AP16" s="702"/>
      <c r="AQ16" s="702"/>
      <c r="AR16" s="702"/>
      <c r="AS16" s="702"/>
      <c r="AT16" s="702"/>
      <c r="AU16" s="702"/>
      <c r="AV16" s="702"/>
      <c r="AW16" s="702"/>
      <c r="AX16" s="702"/>
      <c r="AY16" s="702"/>
      <c r="AZ16" s="702"/>
      <c r="BA16" s="702"/>
      <c r="BB16" s="702"/>
      <c r="BC16" s="702"/>
      <c r="BD16" s="702"/>
      <c r="BE16" s="702"/>
      <c r="BF16" s="726">
        <f t="shared" ref="BF16" si="10">AA16/W16</f>
        <v>1</v>
      </c>
      <c r="BG16" s="726" t="e">
        <f>#REF!/#REF!</f>
        <v>#REF!</v>
      </c>
      <c r="BH16" s="726"/>
      <c r="BI16" s="726"/>
      <c r="BJ16" s="726">
        <f t="shared" ref="BJ16" si="11">AD16/Z16</f>
        <v>1</v>
      </c>
    </row>
    <row r="17" spans="1:64" s="705" customFormat="1" ht="21.75" customHeight="1" x14ac:dyDescent="0.2">
      <c r="A17" s="718" t="s">
        <v>12</v>
      </c>
      <c r="B17" s="719" t="s">
        <v>365</v>
      </c>
      <c r="C17" s="380"/>
      <c r="D17" s="380"/>
      <c r="E17" s="380"/>
      <c r="F17" s="380"/>
      <c r="G17" s="728">
        <f>G18</f>
        <v>15185000</v>
      </c>
      <c r="H17" s="728">
        <f t="shared" ref="H17:AD17" si="12">H18</f>
        <v>0</v>
      </c>
      <c r="I17" s="728">
        <f t="shared" si="12"/>
        <v>0</v>
      </c>
      <c r="J17" s="728">
        <f t="shared" si="12"/>
        <v>0</v>
      </c>
      <c r="K17" s="728">
        <f t="shared" si="12"/>
        <v>15185000</v>
      </c>
      <c r="L17" s="728">
        <f t="shared" si="12"/>
        <v>0</v>
      </c>
      <c r="M17" s="728">
        <f t="shared" si="12"/>
        <v>4984885.477</v>
      </c>
      <c r="N17" s="728">
        <f t="shared" si="12"/>
        <v>0</v>
      </c>
      <c r="O17" s="728">
        <f t="shared" si="12"/>
        <v>0</v>
      </c>
      <c r="P17" s="728">
        <f t="shared" si="12"/>
        <v>0</v>
      </c>
      <c r="Q17" s="728">
        <f t="shared" si="12"/>
        <v>4984885.477</v>
      </c>
      <c r="R17" s="728">
        <f t="shared" si="12"/>
        <v>4256000</v>
      </c>
      <c r="S17" s="728">
        <f t="shared" si="12"/>
        <v>0</v>
      </c>
      <c r="T17" s="728">
        <f t="shared" si="12"/>
        <v>0</v>
      </c>
      <c r="U17" s="728">
        <f t="shared" si="12"/>
        <v>0</v>
      </c>
      <c r="V17" s="728">
        <f t="shared" si="12"/>
        <v>4256000</v>
      </c>
      <c r="W17" s="728">
        <f t="shared" si="12"/>
        <v>4256000</v>
      </c>
      <c r="X17" s="728">
        <f t="shared" si="12"/>
        <v>0</v>
      </c>
      <c r="Y17" s="728">
        <f t="shared" si="12"/>
        <v>0</v>
      </c>
      <c r="Z17" s="728">
        <f t="shared" si="12"/>
        <v>4256000</v>
      </c>
      <c r="AA17" s="728">
        <f t="shared" si="12"/>
        <v>4224885.477</v>
      </c>
      <c r="AB17" s="728">
        <f t="shared" si="12"/>
        <v>0</v>
      </c>
      <c r="AC17" s="728">
        <f t="shared" si="12"/>
        <v>0</v>
      </c>
      <c r="AD17" s="728">
        <f t="shared" si="12"/>
        <v>4224885.477</v>
      </c>
      <c r="AE17" s="702"/>
      <c r="AF17" s="702"/>
      <c r="AG17" s="703"/>
      <c r="AH17" s="703"/>
      <c r="AI17" s="703"/>
      <c r="AJ17" s="702"/>
      <c r="AK17" s="702"/>
      <c r="AL17" s="702"/>
      <c r="AM17" s="702"/>
      <c r="AN17" s="702"/>
      <c r="AO17" s="702"/>
      <c r="AP17" s="702"/>
      <c r="AQ17" s="702"/>
      <c r="AR17" s="702"/>
      <c r="AS17" s="702"/>
      <c r="AT17" s="702"/>
      <c r="AU17" s="702"/>
      <c r="AV17" s="702"/>
      <c r="AW17" s="702"/>
      <c r="AX17" s="702"/>
      <c r="AY17" s="702"/>
      <c r="AZ17" s="702"/>
      <c r="BA17" s="702"/>
      <c r="BB17" s="702"/>
      <c r="BC17" s="702"/>
      <c r="BD17" s="702"/>
      <c r="BE17" s="702"/>
      <c r="BF17" s="720">
        <f t="shared" si="1"/>
        <v>0.99268925681390974</v>
      </c>
      <c r="BG17" s="720" t="e">
        <f>#REF!/#REF!</f>
        <v>#REF!</v>
      </c>
      <c r="BH17" s="720"/>
      <c r="BI17" s="720"/>
      <c r="BJ17" s="720">
        <f t="shared" si="9"/>
        <v>0.99268925681390974</v>
      </c>
    </row>
    <row r="18" spans="1:64" s="705" customFormat="1" ht="24" customHeight="1" x14ac:dyDescent="0.2">
      <c r="A18" s="718"/>
      <c r="B18" s="719" t="s">
        <v>322</v>
      </c>
      <c r="C18" s="380"/>
      <c r="D18" s="380"/>
      <c r="E18" s="729"/>
      <c r="F18" s="729"/>
      <c r="G18" s="730">
        <f>SUM(G19:G21)</f>
        <v>15185000</v>
      </c>
      <c r="H18" s="730">
        <f t="shared" ref="H18:AD18" si="13">SUM(H19:H21)</f>
        <v>0</v>
      </c>
      <c r="I18" s="730">
        <f t="shared" si="13"/>
        <v>0</v>
      </c>
      <c r="J18" s="730">
        <f t="shared" si="13"/>
        <v>0</v>
      </c>
      <c r="K18" s="730">
        <f t="shared" si="13"/>
        <v>15185000</v>
      </c>
      <c r="L18" s="730">
        <f t="shared" si="13"/>
        <v>0</v>
      </c>
      <c r="M18" s="730">
        <f t="shared" si="13"/>
        <v>4984885.477</v>
      </c>
      <c r="N18" s="730">
        <f t="shared" si="13"/>
        <v>0</v>
      </c>
      <c r="O18" s="730">
        <f t="shared" si="13"/>
        <v>0</v>
      </c>
      <c r="P18" s="730">
        <f t="shared" si="13"/>
        <v>0</v>
      </c>
      <c r="Q18" s="730">
        <f t="shared" si="13"/>
        <v>4984885.477</v>
      </c>
      <c r="R18" s="730">
        <f t="shared" si="13"/>
        <v>4256000</v>
      </c>
      <c r="S18" s="730">
        <f t="shared" si="13"/>
        <v>0</v>
      </c>
      <c r="T18" s="730">
        <f t="shared" si="13"/>
        <v>0</v>
      </c>
      <c r="U18" s="730">
        <f t="shared" si="13"/>
        <v>0</v>
      </c>
      <c r="V18" s="730">
        <f t="shared" si="13"/>
        <v>4256000</v>
      </c>
      <c r="W18" s="730">
        <f t="shared" si="13"/>
        <v>4256000</v>
      </c>
      <c r="X18" s="730">
        <f t="shared" si="13"/>
        <v>0</v>
      </c>
      <c r="Y18" s="730">
        <f t="shared" si="13"/>
        <v>0</v>
      </c>
      <c r="Z18" s="730">
        <f t="shared" si="13"/>
        <v>4256000</v>
      </c>
      <c r="AA18" s="730">
        <f t="shared" si="13"/>
        <v>4224885.477</v>
      </c>
      <c r="AB18" s="730">
        <f t="shared" si="13"/>
        <v>0</v>
      </c>
      <c r="AC18" s="730">
        <f t="shared" si="13"/>
        <v>0</v>
      </c>
      <c r="AD18" s="730">
        <f t="shared" si="13"/>
        <v>4224885.477</v>
      </c>
      <c r="AE18" s="702"/>
      <c r="AF18" s="702"/>
      <c r="AG18" s="731"/>
      <c r="AH18" s="731"/>
      <c r="AI18" s="731"/>
      <c r="AJ18" s="702"/>
      <c r="AK18" s="702"/>
      <c r="AL18" s="702"/>
      <c r="AM18" s="702"/>
      <c r="AN18" s="702"/>
      <c r="AO18" s="702"/>
      <c r="AP18" s="702"/>
      <c r="AQ18" s="702"/>
      <c r="AR18" s="702"/>
      <c r="AS18" s="702"/>
      <c r="AT18" s="702"/>
      <c r="AU18" s="702"/>
      <c r="AV18" s="702"/>
      <c r="AW18" s="702"/>
      <c r="AX18" s="702"/>
      <c r="AY18" s="702"/>
      <c r="AZ18" s="702"/>
      <c r="BA18" s="702"/>
      <c r="BB18" s="702"/>
      <c r="BC18" s="702"/>
      <c r="BD18" s="702"/>
      <c r="BE18" s="702"/>
      <c r="BF18" s="720">
        <f t="shared" si="1"/>
        <v>0.99268925681390974</v>
      </c>
      <c r="BG18" s="720" t="e">
        <f>#REF!/#REF!</f>
        <v>#REF!</v>
      </c>
      <c r="BH18" s="720"/>
      <c r="BI18" s="720"/>
      <c r="BJ18" s="720">
        <f t="shared" si="9"/>
        <v>0.99268925681390974</v>
      </c>
    </row>
    <row r="19" spans="1:64" s="701" customFormat="1" ht="61.5" customHeight="1" x14ac:dyDescent="0.2">
      <c r="A19" s="729" t="s">
        <v>40</v>
      </c>
      <c r="B19" s="732" t="s">
        <v>437</v>
      </c>
      <c r="C19" s="380"/>
      <c r="D19" s="380"/>
      <c r="E19" s="729"/>
      <c r="F19" s="699" t="s">
        <v>500</v>
      </c>
      <c r="G19" s="722">
        <f>SUM(H19:L19)</f>
        <v>2720000</v>
      </c>
      <c r="H19" s="765"/>
      <c r="I19" s="765"/>
      <c r="J19" s="765"/>
      <c r="K19" s="766">
        <v>2720000</v>
      </c>
      <c r="L19" s="768"/>
      <c r="M19" s="722">
        <f>SUM(N19:Q19)</f>
        <v>2689412.2689999999</v>
      </c>
      <c r="N19" s="768"/>
      <c r="O19" s="768"/>
      <c r="P19" s="768"/>
      <c r="Q19" s="768">
        <v>2689412.2689999999</v>
      </c>
      <c r="R19" s="722">
        <f>SUM(S19:V19)</f>
        <v>1960000</v>
      </c>
      <c r="S19" s="768"/>
      <c r="T19" s="768"/>
      <c r="U19" s="768"/>
      <c r="V19" s="768">
        <v>1960000</v>
      </c>
      <c r="W19" s="722">
        <f>SUM(X19:Z19)</f>
        <v>1960000</v>
      </c>
      <c r="X19" s="768"/>
      <c r="Y19" s="768"/>
      <c r="Z19" s="768">
        <v>1960000</v>
      </c>
      <c r="AA19" s="722">
        <f>SUM(AB19:AK19)</f>
        <v>1929412.2690000001</v>
      </c>
      <c r="AB19" s="768"/>
      <c r="AC19" s="768"/>
      <c r="AD19" s="768">
        <v>1929412.2690000001</v>
      </c>
      <c r="AE19" s="702"/>
      <c r="AF19" s="733" t="s">
        <v>381</v>
      </c>
      <c r="AG19" s="731"/>
      <c r="AH19" s="731" t="s">
        <v>371</v>
      </c>
      <c r="AI19" s="731"/>
      <c r="AJ19" s="702"/>
      <c r="AK19" s="702"/>
      <c r="AL19" s="702"/>
      <c r="AM19" s="702"/>
      <c r="AN19" s="702"/>
      <c r="AO19" s="702"/>
      <c r="AP19" s="702"/>
      <c r="AQ19" s="702"/>
      <c r="AR19" s="702"/>
      <c r="AS19" s="702"/>
      <c r="AT19" s="702"/>
      <c r="AU19" s="702"/>
      <c r="AV19" s="702"/>
      <c r="AW19" s="702"/>
      <c r="AX19" s="702"/>
      <c r="AY19" s="702"/>
      <c r="AZ19" s="702"/>
      <c r="BA19" s="702"/>
      <c r="BB19" s="702"/>
      <c r="BC19" s="702"/>
      <c r="BD19" s="702"/>
      <c r="BE19" s="702"/>
      <c r="BF19" s="726">
        <f t="shared" si="1"/>
        <v>0.98439401479591837</v>
      </c>
      <c r="BG19" s="726" t="e">
        <f>#REF!/#REF!</f>
        <v>#REF!</v>
      </c>
      <c r="BH19" s="726"/>
      <c r="BI19" s="726"/>
      <c r="BJ19" s="726">
        <f t="shared" si="9"/>
        <v>0.98439401479591837</v>
      </c>
    </row>
    <row r="20" spans="1:64" s="701" customFormat="1" ht="47.25" customHeight="1" x14ac:dyDescent="0.2">
      <c r="A20" s="729" t="s">
        <v>41</v>
      </c>
      <c r="B20" s="732" t="s">
        <v>436</v>
      </c>
      <c r="C20" s="380"/>
      <c r="D20" s="380"/>
      <c r="E20" s="729"/>
      <c r="F20" s="699" t="s">
        <v>495</v>
      </c>
      <c r="G20" s="722">
        <f>SUM(H20:L20)</f>
        <v>5115000</v>
      </c>
      <c r="H20" s="765"/>
      <c r="I20" s="765"/>
      <c r="J20" s="765"/>
      <c r="K20" s="766">
        <v>5115000</v>
      </c>
      <c r="L20" s="768"/>
      <c r="M20" s="722">
        <f>SUM(N20:Q20)</f>
        <v>1640656.2080000001</v>
      </c>
      <c r="N20" s="768"/>
      <c r="O20" s="768"/>
      <c r="P20" s="768"/>
      <c r="Q20" s="768">
        <v>1640656.2080000001</v>
      </c>
      <c r="R20" s="722">
        <f t="shared" ref="R20:R21" si="14">SUM(S20:V20)</f>
        <v>1641000</v>
      </c>
      <c r="S20" s="768"/>
      <c r="T20" s="768"/>
      <c r="U20" s="768"/>
      <c r="V20" s="768">
        <v>1641000</v>
      </c>
      <c r="W20" s="722">
        <f>SUM(X20:Z20)</f>
        <v>1641000</v>
      </c>
      <c r="X20" s="768"/>
      <c r="Y20" s="768"/>
      <c r="Z20" s="768">
        <v>1641000</v>
      </c>
      <c r="AA20" s="722">
        <f>SUM(AB20:AK20)</f>
        <v>1640656.2080000001</v>
      </c>
      <c r="AB20" s="768"/>
      <c r="AC20" s="768"/>
      <c r="AD20" s="768">
        <v>1640656.2080000001</v>
      </c>
      <c r="AE20" s="702"/>
      <c r="AF20" s="733" t="s">
        <v>381</v>
      </c>
      <c r="AG20" s="731"/>
      <c r="AH20" s="731" t="s">
        <v>371</v>
      </c>
      <c r="AI20" s="731"/>
      <c r="AJ20" s="702"/>
      <c r="AK20" s="702"/>
      <c r="AL20" s="702"/>
      <c r="AM20" s="702"/>
      <c r="AN20" s="702"/>
      <c r="AO20" s="702"/>
      <c r="AP20" s="702"/>
      <c r="AQ20" s="702"/>
      <c r="AR20" s="702"/>
      <c r="AS20" s="702"/>
      <c r="AT20" s="702"/>
      <c r="AU20" s="702"/>
      <c r="AV20" s="702"/>
      <c r="AW20" s="702"/>
      <c r="AX20" s="702"/>
      <c r="AY20" s="702"/>
      <c r="AZ20" s="702"/>
      <c r="BA20" s="702"/>
      <c r="BB20" s="702"/>
      <c r="BC20" s="702"/>
      <c r="BD20" s="702"/>
      <c r="BE20" s="702"/>
      <c r="BF20" s="726">
        <f t="shared" si="1"/>
        <v>0.99979049847653878</v>
      </c>
      <c r="BG20" s="726" t="e">
        <f>#REF!/#REF!</f>
        <v>#REF!</v>
      </c>
      <c r="BH20" s="726"/>
      <c r="BI20" s="726"/>
      <c r="BJ20" s="726">
        <f t="shared" si="9"/>
        <v>0.99979049847653878</v>
      </c>
    </row>
    <row r="21" spans="1:64" s="125" customFormat="1" ht="97.5" customHeight="1" x14ac:dyDescent="0.2">
      <c r="A21" s="688" t="s">
        <v>47</v>
      </c>
      <c r="B21" s="734" t="s">
        <v>438</v>
      </c>
      <c r="C21" s="688"/>
      <c r="D21" s="688"/>
      <c r="E21" s="688"/>
      <c r="F21" s="699" t="s">
        <v>494</v>
      </c>
      <c r="G21" s="722">
        <f t="shared" ref="G21" si="15">SUM(H21:L21)</f>
        <v>7350000</v>
      </c>
      <c r="H21" s="765"/>
      <c r="I21" s="765"/>
      <c r="J21" s="765"/>
      <c r="K21" s="766">
        <v>7350000</v>
      </c>
      <c r="L21" s="765"/>
      <c r="M21" s="722">
        <f t="shared" ref="M21" si="16">SUM(N21:Q21)</f>
        <v>654817</v>
      </c>
      <c r="N21" s="765"/>
      <c r="O21" s="765"/>
      <c r="P21" s="765"/>
      <c r="Q21" s="769">
        <v>654817</v>
      </c>
      <c r="R21" s="722">
        <f t="shared" si="14"/>
        <v>655000</v>
      </c>
      <c r="S21" s="765"/>
      <c r="T21" s="765"/>
      <c r="U21" s="765"/>
      <c r="V21" s="769">
        <v>655000</v>
      </c>
      <c r="W21" s="722">
        <f>SUM(X21:Z21)</f>
        <v>655000</v>
      </c>
      <c r="X21" s="765"/>
      <c r="Y21" s="765"/>
      <c r="Z21" s="769">
        <v>655000</v>
      </c>
      <c r="AA21" s="722">
        <f>SUM(AB21:AK21)</f>
        <v>654817</v>
      </c>
      <c r="AB21" s="765"/>
      <c r="AC21" s="765"/>
      <c r="AD21" s="769">
        <v>654817</v>
      </c>
      <c r="AE21" s="724"/>
      <c r="AF21" s="724" t="s">
        <v>381</v>
      </c>
      <c r="AG21" s="725"/>
      <c r="AH21" s="725" t="s">
        <v>371</v>
      </c>
      <c r="AI21" s="725" t="s">
        <v>397</v>
      </c>
      <c r="AJ21" s="724"/>
      <c r="AK21" s="724"/>
      <c r="AL21" s="724"/>
      <c r="AM21" s="724"/>
      <c r="AN21" s="724"/>
      <c r="AO21" s="724"/>
      <c r="AP21" s="724"/>
      <c r="AQ21" s="724"/>
      <c r="AR21" s="724"/>
      <c r="AS21" s="724"/>
      <c r="AT21" s="724"/>
      <c r="AU21" s="724"/>
      <c r="AV21" s="724"/>
      <c r="AW21" s="724"/>
      <c r="AX21" s="724"/>
      <c r="AY21" s="724"/>
      <c r="AZ21" s="724"/>
      <c r="BA21" s="724"/>
      <c r="BB21" s="724"/>
      <c r="BC21" s="724"/>
      <c r="BD21" s="724"/>
      <c r="BE21" s="724"/>
      <c r="BF21" s="726">
        <f t="shared" si="1"/>
        <v>0.99972061068702289</v>
      </c>
      <c r="BG21" s="726" t="e">
        <f>#REF!/#REF!</f>
        <v>#REF!</v>
      </c>
      <c r="BH21" s="726"/>
      <c r="BI21" s="726"/>
      <c r="BJ21" s="726">
        <f t="shared" si="9"/>
        <v>0.99972061068702289</v>
      </c>
    </row>
    <row r="22" spans="1:64" s="705" customFormat="1" ht="24.75" customHeight="1" x14ac:dyDescent="0.2">
      <c r="A22" s="718" t="s">
        <v>19</v>
      </c>
      <c r="B22" s="719" t="s">
        <v>439</v>
      </c>
      <c r="C22" s="380"/>
      <c r="D22" s="380"/>
      <c r="E22" s="380"/>
      <c r="F22" s="380"/>
      <c r="G22" s="728">
        <f>G23</f>
        <v>0</v>
      </c>
      <c r="H22" s="728">
        <f t="shared" ref="H22:AD22" si="17">H23</f>
        <v>0</v>
      </c>
      <c r="I22" s="728">
        <f t="shared" si="17"/>
        <v>0</v>
      </c>
      <c r="J22" s="728">
        <f t="shared" si="17"/>
        <v>0</v>
      </c>
      <c r="K22" s="728">
        <f t="shared" si="17"/>
        <v>0</v>
      </c>
      <c r="L22" s="728">
        <f t="shared" si="17"/>
        <v>0</v>
      </c>
      <c r="M22" s="728">
        <f t="shared" si="17"/>
        <v>688500</v>
      </c>
      <c r="N22" s="728">
        <f t="shared" si="17"/>
        <v>0</v>
      </c>
      <c r="O22" s="728">
        <f t="shared" si="17"/>
        <v>0</v>
      </c>
      <c r="P22" s="728">
        <f t="shared" si="17"/>
        <v>0</v>
      </c>
      <c r="Q22" s="728">
        <f t="shared" si="17"/>
        <v>688500</v>
      </c>
      <c r="R22" s="728">
        <f t="shared" si="17"/>
        <v>688500</v>
      </c>
      <c r="S22" s="728">
        <f t="shared" si="17"/>
        <v>0</v>
      </c>
      <c r="T22" s="728">
        <f t="shared" si="17"/>
        <v>0</v>
      </c>
      <c r="U22" s="728">
        <f t="shared" si="17"/>
        <v>0</v>
      </c>
      <c r="V22" s="728">
        <f t="shared" si="17"/>
        <v>688500</v>
      </c>
      <c r="W22" s="728">
        <f t="shared" si="17"/>
        <v>240000</v>
      </c>
      <c r="X22" s="728">
        <f t="shared" si="17"/>
        <v>0</v>
      </c>
      <c r="Y22" s="728">
        <f t="shared" si="17"/>
        <v>0</v>
      </c>
      <c r="Z22" s="728">
        <f t="shared" si="17"/>
        <v>240000</v>
      </c>
      <c r="AA22" s="728">
        <f t="shared" si="17"/>
        <v>240000</v>
      </c>
      <c r="AB22" s="728">
        <f t="shared" si="17"/>
        <v>0</v>
      </c>
      <c r="AC22" s="728">
        <f t="shared" si="17"/>
        <v>0</v>
      </c>
      <c r="AD22" s="728">
        <f t="shared" si="17"/>
        <v>240000</v>
      </c>
      <c r="AE22" s="702"/>
      <c r="AF22" s="702"/>
      <c r="AG22" s="703"/>
      <c r="AH22" s="703"/>
      <c r="AI22" s="703"/>
      <c r="AJ22" s="702"/>
      <c r="AK22" s="702"/>
      <c r="AL22" s="702"/>
      <c r="AM22" s="702"/>
      <c r="AN22" s="702"/>
      <c r="AO22" s="702"/>
      <c r="AP22" s="702"/>
      <c r="AQ22" s="702"/>
      <c r="AR22" s="702"/>
      <c r="AS22" s="702"/>
      <c r="AT22" s="702"/>
      <c r="AU22" s="702"/>
      <c r="AV22" s="702"/>
      <c r="AW22" s="702"/>
      <c r="AX22" s="702"/>
      <c r="AY22" s="702"/>
      <c r="AZ22" s="702"/>
      <c r="BA22" s="702"/>
      <c r="BB22" s="702"/>
      <c r="BC22" s="702"/>
      <c r="BD22" s="702"/>
      <c r="BE22" s="702"/>
      <c r="BF22" s="720">
        <f t="shared" si="1"/>
        <v>1</v>
      </c>
      <c r="BG22" s="720" t="e">
        <f>#REF!/#REF!</f>
        <v>#REF!</v>
      </c>
      <c r="BH22" s="720"/>
      <c r="BI22" s="720"/>
      <c r="BJ22" s="720">
        <f t="shared" si="9"/>
        <v>1</v>
      </c>
      <c r="BL22" s="917"/>
    </row>
    <row r="23" spans="1:64" s="705" customFormat="1" ht="23.25" customHeight="1" x14ac:dyDescent="0.2">
      <c r="A23" s="718"/>
      <c r="B23" s="719" t="s">
        <v>322</v>
      </c>
      <c r="C23" s="380"/>
      <c r="D23" s="380"/>
      <c r="E23" s="729"/>
      <c r="F23" s="729"/>
      <c r="G23" s="730">
        <f>G24</f>
        <v>0</v>
      </c>
      <c r="H23" s="730">
        <f t="shared" ref="H23:AD23" si="18">H24</f>
        <v>0</v>
      </c>
      <c r="I23" s="730">
        <f t="shared" si="18"/>
        <v>0</v>
      </c>
      <c r="J23" s="730">
        <f t="shared" si="18"/>
        <v>0</v>
      </c>
      <c r="K23" s="730">
        <f t="shared" si="18"/>
        <v>0</v>
      </c>
      <c r="L23" s="730">
        <f t="shared" si="18"/>
        <v>0</v>
      </c>
      <c r="M23" s="730">
        <f t="shared" si="18"/>
        <v>688500</v>
      </c>
      <c r="N23" s="730">
        <f t="shared" si="18"/>
        <v>0</v>
      </c>
      <c r="O23" s="730">
        <f t="shared" si="18"/>
        <v>0</v>
      </c>
      <c r="P23" s="730">
        <f t="shared" si="18"/>
        <v>0</v>
      </c>
      <c r="Q23" s="730">
        <f t="shared" si="18"/>
        <v>688500</v>
      </c>
      <c r="R23" s="730">
        <f t="shared" si="18"/>
        <v>688500</v>
      </c>
      <c r="S23" s="730">
        <f t="shared" si="18"/>
        <v>0</v>
      </c>
      <c r="T23" s="730">
        <f t="shared" si="18"/>
        <v>0</v>
      </c>
      <c r="U23" s="730">
        <f t="shared" si="18"/>
        <v>0</v>
      </c>
      <c r="V23" s="730">
        <f t="shared" si="18"/>
        <v>688500</v>
      </c>
      <c r="W23" s="730">
        <f t="shared" si="18"/>
        <v>240000</v>
      </c>
      <c r="X23" s="730">
        <f t="shared" si="18"/>
        <v>0</v>
      </c>
      <c r="Y23" s="730">
        <f t="shared" si="18"/>
        <v>0</v>
      </c>
      <c r="Z23" s="730">
        <f t="shared" si="18"/>
        <v>240000</v>
      </c>
      <c r="AA23" s="730">
        <f t="shared" si="18"/>
        <v>240000</v>
      </c>
      <c r="AB23" s="730">
        <f t="shared" si="18"/>
        <v>0</v>
      </c>
      <c r="AC23" s="730">
        <f t="shared" si="18"/>
        <v>0</v>
      </c>
      <c r="AD23" s="730">
        <f t="shared" si="18"/>
        <v>240000</v>
      </c>
      <c r="AE23" s="702"/>
      <c r="AF23" s="702"/>
      <c r="AG23" s="731"/>
      <c r="AH23" s="731"/>
      <c r="AI23" s="731"/>
      <c r="AJ23" s="702"/>
      <c r="AK23" s="702"/>
      <c r="AL23" s="702"/>
      <c r="AM23" s="702"/>
      <c r="AN23" s="702"/>
      <c r="AO23" s="702"/>
      <c r="AP23" s="702"/>
      <c r="AQ23" s="702"/>
      <c r="AR23" s="702"/>
      <c r="AS23" s="702"/>
      <c r="AT23" s="702"/>
      <c r="AU23" s="702"/>
      <c r="AV23" s="702"/>
      <c r="AW23" s="702"/>
      <c r="AX23" s="702"/>
      <c r="AY23" s="702"/>
      <c r="AZ23" s="702"/>
      <c r="BA23" s="702"/>
      <c r="BB23" s="702"/>
      <c r="BC23" s="702"/>
      <c r="BD23" s="702"/>
      <c r="BE23" s="702"/>
      <c r="BF23" s="720">
        <f t="shared" si="1"/>
        <v>1</v>
      </c>
      <c r="BG23" s="720" t="e">
        <f>#REF!/#REF!</f>
        <v>#REF!</v>
      </c>
      <c r="BH23" s="720"/>
      <c r="BI23" s="720"/>
      <c r="BJ23" s="720">
        <f t="shared" si="9"/>
        <v>1</v>
      </c>
    </row>
    <row r="24" spans="1:64" s="701" customFormat="1" ht="47.25" customHeight="1" x14ac:dyDescent="0.2">
      <c r="A24" s="729" t="s">
        <v>319</v>
      </c>
      <c r="B24" s="732" t="s">
        <v>440</v>
      </c>
      <c r="C24" s="380"/>
      <c r="D24" s="380"/>
      <c r="E24" s="729"/>
      <c r="F24" s="735"/>
      <c r="G24" s="722">
        <f>SUM(H24:L24)</f>
        <v>0</v>
      </c>
      <c r="H24" s="765"/>
      <c r="I24" s="765"/>
      <c r="J24" s="765"/>
      <c r="K24" s="766"/>
      <c r="L24" s="768"/>
      <c r="M24" s="722">
        <f>SUM(N24:Q24)</f>
        <v>688500</v>
      </c>
      <c r="N24" s="768"/>
      <c r="O24" s="768"/>
      <c r="P24" s="768"/>
      <c r="Q24" s="768">
        <f>448500+240000</f>
        <v>688500</v>
      </c>
      <c r="R24" s="722">
        <f>SUM(S24:V24)</f>
        <v>688500</v>
      </c>
      <c r="S24" s="768"/>
      <c r="T24" s="768"/>
      <c r="U24" s="768"/>
      <c r="V24" s="768">
        <f>448500+240000</f>
        <v>688500</v>
      </c>
      <c r="W24" s="722">
        <f>SUM(X24:Z24)</f>
        <v>240000</v>
      </c>
      <c r="X24" s="768"/>
      <c r="Y24" s="768"/>
      <c r="Z24" s="768">
        <v>240000</v>
      </c>
      <c r="AA24" s="722">
        <f>SUM(AB24:AK24)</f>
        <v>240000</v>
      </c>
      <c r="AB24" s="768"/>
      <c r="AC24" s="768"/>
      <c r="AD24" s="768">
        <v>240000</v>
      </c>
      <c r="AE24" s="702"/>
      <c r="AF24" s="733" t="s">
        <v>381</v>
      </c>
      <c r="AG24" s="731"/>
      <c r="AH24" s="731" t="s">
        <v>371</v>
      </c>
      <c r="AI24" s="731"/>
      <c r="AJ24" s="702"/>
      <c r="AK24" s="702"/>
      <c r="AL24" s="702"/>
      <c r="AM24" s="702"/>
      <c r="AN24" s="702"/>
      <c r="AO24" s="702"/>
      <c r="AP24" s="702"/>
      <c r="AQ24" s="702"/>
      <c r="AR24" s="702"/>
      <c r="AS24" s="702"/>
      <c r="AT24" s="702"/>
      <c r="AU24" s="702"/>
      <c r="AV24" s="702"/>
      <c r="AW24" s="702"/>
      <c r="AX24" s="702"/>
      <c r="AY24" s="702"/>
      <c r="AZ24" s="702"/>
      <c r="BA24" s="702"/>
      <c r="BB24" s="702"/>
      <c r="BC24" s="702"/>
      <c r="BD24" s="702"/>
      <c r="BE24" s="702"/>
      <c r="BF24" s="726">
        <f t="shared" si="1"/>
        <v>1</v>
      </c>
      <c r="BG24" s="726" t="e">
        <f>#REF!/#REF!</f>
        <v>#REF!</v>
      </c>
      <c r="BH24" s="726"/>
      <c r="BI24" s="726"/>
      <c r="BJ24" s="726">
        <f t="shared" si="9"/>
        <v>1</v>
      </c>
    </row>
    <row r="25" spans="1:64" s="705" customFormat="1" ht="21.75" customHeight="1" x14ac:dyDescent="0.2">
      <c r="A25" s="718" t="s">
        <v>20</v>
      </c>
      <c r="B25" s="719" t="s">
        <v>441</v>
      </c>
      <c r="C25" s="380"/>
      <c r="D25" s="380"/>
      <c r="E25" s="380"/>
      <c r="F25" s="380"/>
      <c r="G25" s="728">
        <f>G26</f>
        <v>0</v>
      </c>
      <c r="H25" s="728">
        <f t="shared" ref="H25:BE25" si="19">H26</f>
        <v>0</v>
      </c>
      <c r="I25" s="728">
        <f t="shared" si="19"/>
        <v>0</v>
      </c>
      <c r="J25" s="728">
        <f t="shared" si="19"/>
        <v>0</v>
      </c>
      <c r="K25" s="728">
        <f t="shared" si="19"/>
        <v>0</v>
      </c>
      <c r="L25" s="728">
        <f t="shared" si="19"/>
        <v>0</v>
      </c>
      <c r="M25" s="728">
        <f t="shared" si="19"/>
        <v>1095200</v>
      </c>
      <c r="N25" s="728">
        <f t="shared" si="19"/>
        <v>0</v>
      </c>
      <c r="O25" s="728">
        <f t="shared" si="19"/>
        <v>0</v>
      </c>
      <c r="P25" s="728">
        <f t="shared" si="19"/>
        <v>0</v>
      </c>
      <c r="Q25" s="728">
        <f t="shared" si="19"/>
        <v>1095200</v>
      </c>
      <c r="R25" s="728">
        <f t="shared" si="19"/>
        <v>1095200</v>
      </c>
      <c r="S25" s="728">
        <f t="shared" si="19"/>
        <v>0</v>
      </c>
      <c r="T25" s="728">
        <f t="shared" si="19"/>
        <v>0</v>
      </c>
      <c r="U25" s="728">
        <f t="shared" si="19"/>
        <v>0</v>
      </c>
      <c r="V25" s="728">
        <f t="shared" si="19"/>
        <v>1095200</v>
      </c>
      <c r="W25" s="728">
        <f t="shared" si="19"/>
        <v>507200</v>
      </c>
      <c r="X25" s="728">
        <f t="shared" si="19"/>
        <v>0</v>
      </c>
      <c r="Y25" s="728">
        <f t="shared" si="19"/>
        <v>0</v>
      </c>
      <c r="Z25" s="728">
        <f t="shared" si="19"/>
        <v>507200</v>
      </c>
      <c r="AA25" s="728">
        <f t="shared" si="19"/>
        <v>507200</v>
      </c>
      <c r="AB25" s="728">
        <f t="shared" si="19"/>
        <v>0</v>
      </c>
      <c r="AC25" s="728">
        <f t="shared" si="19"/>
        <v>0</v>
      </c>
      <c r="AD25" s="728">
        <f t="shared" si="19"/>
        <v>507200</v>
      </c>
      <c r="AE25" s="727">
        <f t="shared" si="19"/>
        <v>0</v>
      </c>
      <c r="AF25" s="727">
        <f t="shared" si="19"/>
        <v>0</v>
      </c>
      <c r="AG25" s="727">
        <f t="shared" si="19"/>
        <v>0</v>
      </c>
      <c r="AH25" s="727">
        <f t="shared" si="19"/>
        <v>0</v>
      </c>
      <c r="AI25" s="727">
        <f t="shared" si="19"/>
        <v>0</v>
      </c>
      <c r="AJ25" s="727">
        <f t="shared" si="19"/>
        <v>0</v>
      </c>
      <c r="AK25" s="727">
        <f t="shared" si="19"/>
        <v>0</v>
      </c>
      <c r="AL25" s="727">
        <f t="shared" si="19"/>
        <v>0</v>
      </c>
      <c r="AM25" s="727">
        <f t="shared" si="19"/>
        <v>0</v>
      </c>
      <c r="AN25" s="727">
        <f t="shared" si="19"/>
        <v>0</v>
      </c>
      <c r="AO25" s="727">
        <f t="shared" si="19"/>
        <v>0</v>
      </c>
      <c r="AP25" s="727">
        <f t="shared" si="19"/>
        <v>0</v>
      </c>
      <c r="AQ25" s="727">
        <f t="shared" si="19"/>
        <v>0</v>
      </c>
      <c r="AR25" s="727">
        <f t="shared" si="19"/>
        <v>0</v>
      </c>
      <c r="AS25" s="727">
        <f t="shared" si="19"/>
        <v>0</v>
      </c>
      <c r="AT25" s="727">
        <f t="shared" si="19"/>
        <v>0</v>
      </c>
      <c r="AU25" s="727">
        <f t="shared" si="19"/>
        <v>0</v>
      </c>
      <c r="AV25" s="727">
        <f t="shared" si="19"/>
        <v>0</v>
      </c>
      <c r="AW25" s="727">
        <f t="shared" si="19"/>
        <v>0</v>
      </c>
      <c r="AX25" s="727">
        <f t="shared" si="19"/>
        <v>0</v>
      </c>
      <c r="AY25" s="727">
        <f t="shared" si="19"/>
        <v>0</v>
      </c>
      <c r="AZ25" s="727">
        <f t="shared" si="19"/>
        <v>0</v>
      </c>
      <c r="BA25" s="727">
        <f t="shared" si="19"/>
        <v>0</v>
      </c>
      <c r="BB25" s="727">
        <f t="shared" si="19"/>
        <v>0</v>
      </c>
      <c r="BC25" s="727">
        <f t="shared" si="19"/>
        <v>0</v>
      </c>
      <c r="BD25" s="727">
        <f t="shared" si="19"/>
        <v>0</v>
      </c>
      <c r="BE25" s="727">
        <f t="shared" si="19"/>
        <v>0</v>
      </c>
      <c r="BF25" s="720">
        <f t="shared" si="1"/>
        <v>1</v>
      </c>
      <c r="BG25" s="720" t="e">
        <f>#REF!/#REF!</f>
        <v>#REF!</v>
      </c>
      <c r="BH25" s="720"/>
      <c r="BI25" s="720"/>
      <c r="BJ25" s="720">
        <f t="shared" si="9"/>
        <v>1</v>
      </c>
      <c r="BL25" s="917"/>
    </row>
    <row r="26" spans="1:64" s="705" customFormat="1" ht="24" customHeight="1" x14ac:dyDescent="0.2">
      <c r="A26" s="718"/>
      <c r="B26" s="719" t="s">
        <v>322</v>
      </c>
      <c r="C26" s="380"/>
      <c r="D26" s="380"/>
      <c r="E26" s="729"/>
      <c r="F26" s="729"/>
      <c r="G26" s="730">
        <f>SUM(G27:G27)</f>
        <v>0</v>
      </c>
      <c r="H26" s="730">
        <f t="shared" ref="H26:AD26" si="20">SUM(H27:H27)</f>
        <v>0</v>
      </c>
      <c r="I26" s="730">
        <f t="shared" si="20"/>
        <v>0</v>
      </c>
      <c r="J26" s="730">
        <f t="shared" si="20"/>
        <v>0</v>
      </c>
      <c r="K26" s="730">
        <f t="shared" si="20"/>
        <v>0</v>
      </c>
      <c r="L26" s="730">
        <f t="shared" si="20"/>
        <v>0</v>
      </c>
      <c r="M26" s="730">
        <f t="shared" si="20"/>
        <v>1095200</v>
      </c>
      <c r="N26" s="730">
        <f t="shared" si="20"/>
        <v>0</v>
      </c>
      <c r="O26" s="730">
        <f t="shared" si="20"/>
        <v>0</v>
      </c>
      <c r="P26" s="730">
        <f t="shared" si="20"/>
        <v>0</v>
      </c>
      <c r="Q26" s="730">
        <f t="shared" si="20"/>
        <v>1095200</v>
      </c>
      <c r="R26" s="730">
        <f t="shared" si="20"/>
        <v>1095200</v>
      </c>
      <c r="S26" s="730">
        <f t="shared" si="20"/>
        <v>0</v>
      </c>
      <c r="T26" s="730">
        <f t="shared" si="20"/>
        <v>0</v>
      </c>
      <c r="U26" s="730">
        <f t="shared" si="20"/>
        <v>0</v>
      </c>
      <c r="V26" s="730">
        <f t="shared" si="20"/>
        <v>1095200</v>
      </c>
      <c r="W26" s="730">
        <f t="shared" si="20"/>
        <v>507200</v>
      </c>
      <c r="X26" s="730">
        <f t="shared" si="20"/>
        <v>0</v>
      </c>
      <c r="Y26" s="730">
        <f t="shared" si="20"/>
        <v>0</v>
      </c>
      <c r="Z26" s="730">
        <f t="shared" si="20"/>
        <v>507200</v>
      </c>
      <c r="AA26" s="730">
        <f t="shared" si="20"/>
        <v>507200</v>
      </c>
      <c r="AB26" s="730">
        <f t="shared" si="20"/>
        <v>0</v>
      </c>
      <c r="AC26" s="730">
        <f t="shared" si="20"/>
        <v>0</v>
      </c>
      <c r="AD26" s="730">
        <f t="shared" si="20"/>
        <v>507200</v>
      </c>
      <c r="AE26" s="463">
        <f t="shared" ref="AE26:BE26" si="21">SUM(AE27:AE27)</f>
        <v>0</v>
      </c>
      <c r="AF26" s="463">
        <f t="shared" si="21"/>
        <v>0</v>
      </c>
      <c r="AG26" s="463">
        <f t="shared" si="21"/>
        <v>0</v>
      </c>
      <c r="AH26" s="463">
        <f t="shared" si="21"/>
        <v>0</v>
      </c>
      <c r="AI26" s="463">
        <f t="shared" si="21"/>
        <v>0</v>
      </c>
      <c r="AJ26" s="463">
        <f t="shared" si="21"/>
        <v>0</v>
      </c>
      <c r="AK26" s="463">
        <f t="shared" si="21"/>
        <v>0</v>
      </c>
      <c r="AL26" s="463">
        <f t="shared" si="21"/>
        <v>0</v>
      </c>
      <c r="AM26" s="463">
        <f t="shared" si="21"/>
        <v>0</v>
      </c>
      <c r="AN26" s="463">
        <f t="shared" si="21"/>
        <v>0</v>
      </c>
      <c r="AO26" s="463">
        <f t="shared" si="21"/>
        <v>0</v>
      </c>
      <c r="AP26" s="463">
        <f t="shared" si="21"/>
        <v>0</v>
      </c>
      <c r="AQ26" s="463">
        <f t="shared" si="21"/>
        <v>0</v>
      </c>
      <c r="AR26" s="463">
        <f t="shared" si="21"/>
        <v>0</v>
      </c>
      <c r="AS26" s="463">
        <f t="shared" si="21"/>
        <v>0</v>
      </c>
      <c r="AT26" s="463">
        <f t="shared" si="21"/>
        <v>0</v>
      </c>
      <c r="AU26" s="463">
        <f t="shared" si="21"/>
        <v>0</v>
      </c>
      <c r="AV26" s="463">
        <f t="shared" si="21"/>
        <v>0</v>
      </c>
      <c r="AW26" s="463">
        <f t="shared" si="21"/>
        <v>0</v>
      </c>
      <c r="AX26" s="463">
        <f t="shared" si="21"/>
        <v>0</v>
      </c>
      <c r="AY26" s="463">
        <f t="shared" si="21"/>
        <v>0</v>
      </c>
      <c r="AZ26" s="463">
        <f t="shared" si="21"/>
        <v>0</v>
      </c>
      <c r="BA26" s="463">
        <f t="shared" si="21"/>
        <v>0</v>
      </c>
      <c r="BB26" s="463">
        <f t="shared" si="21"/>
        <v>0</v>
      </c>
      <c r="BC26" s="463">
        <f t="shared" si="21"/>
        <v>0</v>
      </c>
      <c r="BD26" s="463">
        <f t="shared" si="21"/>
        <v>0</v>
      </c>
      <c r="BE26" s="463">
        <f t="shared" si="21"/>
        <v>0</v>
      </c>
      <c r="BF26" s="720">
        <f t="shared" si="1"/>
        <v>1</v>
      </c>
      <c r="BG26" s="720" t="e">
        <f>#REF!/#REF!</f>
        <v>#REF!</v>
      </c>
      <c r="BH26" s="720"/>
      <c r="BI26" s="720"/>
      <c r="BJ26" s="720">
        <f t="shared" si="9"/>
        <v>1</v>
      </c>
    </row>
    <row r="27" spans="1:64" s="701" customFormat="1" ht="49.5" customHeight="1" x14ac:dyDescent="0.2">
      <c r="A27" s="729" t="s">
        <v>352</v>
      </c>
      <c r="B27" s="732" t="s">
        <v>442</v>
      </c>
      <c r="C27" s="380"/>
      <c r="D27" s="380"/>
      <c r="E27" s="729"/>
      <c r="F27" s="735"/>
      <c r="G27" s="722">
        <f>SUM(H27:L27)</f>
        <v>0</v>
      </c>
      <c r="H27" s="765"/>
      <c r="I27" s="765"/>
      <c r="J27" s="765"/>
      <c r="K27" s="766"/>
      <c r="L27" s="768"/>
      <c r="M27" s="722">
        <f>SUM(N27:Q27)</f>
        <v>1095200</v>
      </c>
      <c r="N27" s="768"/>
      <c r="O27" s="768"/>
      <c r="P27" s="768"/>
      <c r="Q27" s="768">
        <f>588000+507200</f>
        <v>1095200</v>
      </c>
      <c r="R27" s="722">
        <f>SUM(S27:V27)</f>
        <v>1095200</v>
      </c>
      <c r="S27" s="768"/>
      <c r="T27" s="768"/>
      <c r="U27" s="768"/>
      <c r="V27" s="768">
        <f>507200+588000</f>
        <v>1095200</v>
      </c>
      <c r="W27" s="722">
        <f>SUM(X27:Z27)</f>
        <v>507200</v>
      </c>
      <c r="X27" s="768"/>
      <c r="Y27" s="768"/>
      <c r="Z27" s="768">
        <v>507200</v>
      </c>
      <c r="AA27" s="722">
        <f>SUM(AB27:AK27)</f>
        <v>507200</v>
      </c>
      <c r="AB27" s="768"/>
      <c r="AC27" s="768"/>
      <c r="AD27" s="768">
        <v>507200</v>
      </c>
      <c r="AE27" s="702"/>
      <c r="AF27" s="733" t="s">
        <v>381</v>
      </c>
      <c r="AG27" s="731"/>
      <c r="AH27" s="731" t="s">
        <v>371</v>
      </c>
      <c r="AI27" s="731"/>
      <c r="AJ27" s="702"/>
      <c r="AK27" s="702"/>
      <c r="AL27" s="702"/>
      <c r="AM27" s="702"/>
      <c r="AN27" s="702"/>
      <c r="AO27" s="702"/>
      <c r="AP27" s="702"/>
      <c r="AQ27" s="702"/>
      <c r="AR27" s="702"/>
      <c r="AS27" s="702"/>
      <c r="AT27" s="702"/>
      <c r="AU27" s="702"/>
      <c r="AV27" s="702"/>
      <c r="AW27" s="702"/>
      <c r="AX27" s="702"/>
      <c r="AY27" s="702"/>
      <c r="AZ27" s="702"/>
      <c r="BA27" s="702"/>
      <c r="BB27" s="702"/>
      <c r="BC27" s="702"/>
      <c r="BD27" s="702"/>
      <c r="BE27" s="702"/>
      <c r="BF27" s="726">
        <f t="shared" si="1"/>
        <v>1</v>
      </c>
      <c r="BG27" s="726" t="e">
        <f>#REF!/#REF!</f>
        <v>#REF!</v>
      </c>
      <c r="BH27" s="726"/>
      <c r="BI27" s="726"/>
      <c r="BJ27" s="726">
        <f t="shared" si="9"/>
        <v>1</v>
      </c>
    </row>
    <row r="28" spans="1:64" s="741" customFormat="1" ht="76.5" customHeight="1" x14ac:dyDescent="0.25">
      <c r="A28" s="627" t="s">
        <v>5</v>
      </c>
      <c r="B28" s="736" t="s">
        <v>443</v>
      </c>
      <c r="C28" s="736"/>
      <c r="D28" s="736"/>
      <c r="E28" s="736"/>
      <c r="F28" s="736"/>
      <c r="G28" s="746">
        <f>G29+G32</f>
        <v>1310700</v>
      </c>
      <c r="H28" s="746">
        <f t="shared" ref="H28:L28" si="22">H29+H32</f>
        <v>0</v>
      </c>
      <c r="I28" s="746">
        <f t="shared" si="22"/>
        <v>0</v>
      </c>
      <c r="J28" s="746">
        <f t="shared" si="22"/>
        <v>0</v>
      </c>
      <c r="K28" s="746">
        <f t="shared" si="22"/>
        <v>1310700</v>
      </c>
      <c r="L28" s="746">
        <f t="shared" si="22"/>
        <v>0</v>
      </c>
      <c r="M28" s="746">
        <f>M29+M32+M36</f>
        <v>53318886.774999999</v>
      </c>
      <c r="N28" s="746">
        <f t="shared" ref="N28:AD28" si="23">N29+N32+N36</f>
        <v>0</v>
      </c>
      <c r="O28" s="746">
        <f t="shared" si="23"/>
        <v>0</v>
      </c>
      <c r="P28" s="746">
        <f t="shared" si="23"/>
        <v>0</v>
      </c>
      <c r="Q28" s="746">
        <f t="shared" si="23"/>
        <v>53318886.774999999</v>
      </c>
      <c r="R28" s="746">
        <f t="shared" si="23"/>
        <v>53318886.774999999</v>
      </c>
      <c r="S28" s="746">
        <f t="shared" si="23"/>
        <v>0</v>
      </c>
      <c r="T28" s="746">
        <f t="shared" si="23"/>
        <v>0</v>
      </c>
      <c r="U28" s="746">
        <f t="shared" si="23"/>
        <v>0</v>
      </c>
      <c r="V28" s="746">
        <f t="shared" si="23"/>
        <v>53318886.774999999</v>
      </c>
      <c r="W28" s="746">
        <f t="shared" si="23"/>
        <v>0</v>
      </c>
      <c r="X28" s="746">
        <f t="shared" si="23"/>
        <v>0</v>
      </c>
      <c r="Y28" s="746">
        <f t="shared" si="23"/>
        <v>0</v>
      </c>
      <c r="Z28" s="746">
        <f t="shared" si="23"/>
        <v>0</v>
      </c>
      <c r="AA28" s="746">
        <f t="shared" si="23"/>
        <v>1706086.716</v>
      </c>
      <c r="AB28" s="746">
        <f t="shared" si="23"/>
        <v>0</v>
      </c>
      <c r="AC28" s="746">
        <f t="shared" si="23"/>
        <v>0</v>
      </c>
      <c r="AD28" s="746">
        <f t="shared" si="23"/>
        <v>1706086.716</v>
      </c>
      <c r="AE28" s="737"/>
      <c r="AF28" s="737"/>
      <c r="AG28" s="738"/>
      <c r="AH28" s="738"/>
      <c r="AI28" s="738"/>
      <c r="AJ28" s="737"/>
      <c r="AK28" s="737"/>
      <c r="AL28" s="737"/>
      <c r="AM28" s="737"/>
      <c r="AN28" s="737"/>
      <c r="AO28" s="737"/>
      <c r="AP28" s="737"/>
      <c r="AQ28" s="737"/>
      <c r="AR28" s="737"/>
      <c r="AS28" s="737"/>
      <c r="AT28" s="737"/>
      <c r="AU28" s="737"/>
      <c r="AV28" s="737"/>
      <c r="AW28" s="737"/>
      <c r="AX28" s="737"/>
      <c r="AY28" s="737"/>
      <c r="AZ28" s="737"/>
      <c r="BA28" s="737"/>
      <c r="BB28" s="737"/>
      <c r="BC28" s="737"/>
      <c r="BD28" s="737"/>
      <c r="BE28" s="737"/>
      <c r="BF28" s="739"/>
      <c r="BG28" s="737"/>
      <c r="BH28" s="737"/>
      <c r="BI28" s="737"/>
      <c r="BJ28" s="740"/>
    </row>
    <row r="29" spans="1:64" s="530" customFormat="1" ht="21.75" customHeight="1" x14ac:dyDescent="0.2">
      <c r="A29" s="626" t="s">
        <v>6</v>
      </c>
      <c r="B29" s="512" t="s">
        <v>365</v>
      </c>
      <c r="C29" s="626"/>
      <c r="D29" s="626"/>
      <c r="E29" s="626"/>
      <c r="F29" s="626"/>
      <c r="G29" s="730">
        <f>G30</f>
        <v>0</v>
      </c>
      <c r="H29" s="730">
        <f t="shared" ref="H29" si="24">H30</f>
        <v>0</v>
      </c>
      <c r="I29" s="730">
        <f t="shared" ref="I29" si="25">I30</f>
        <v>0</v>
      </c>
      <c r="J29" s="730">
        <f t="shared" ref="J29" si="26">J30</f>
        <v>0</v>
      </c>
      <c r="K29" s="730">
        <f t="shared" ref="K29" si="27">K30</f>
        <v>0</v>
      </c>
      <c r="L29" s="730">
        <f t="shared" ref="L29" si="28">L30</f>
        <v>0</v>
      </c>
      <c r="M29" s="730">
        <f t="shared" ref="M29" si="29">M30</f>
        <v>50912986.774999999</v>
      </c>
      <c r="N29" s="730">
        <f t="shared" ref="N29" si="30">N30</f>
        <v>0</v>
      </c>
      <c r="O29" s="730">
        <f t="shared" ref="O29" si="31">O30</f>
        <v>0</v>
      </c>
      <c r="P29" s="730">
        <f t="shared" ref="P29" si="32">P30</f>
        <v>0</v>
      </c>
      <c r="Q29" s="730">
        <f t="shared" ref="Q29" si="33">Q30</f>
        <v>50912986.774999999</v>
      </c>
      <c r="R29" s="730">
        <f t="shared" ref="R29" si="34">R30</f>
        <v>50912986.774999999</v>
      </c>
      <c r="S29" s="730">
        <f t="shared" ref="S29" si="35">S30</f>
        <v>0</v>
      </c>
      <c r="T29" s="730">
        <f t="shared" ref="T29" si="36">T30</f>
        <v>0</v>
      </c>
      <c r="U29" s="730">
        <f t="shared" ref="U29" si="37">U30</f>
        <v>0</v>
      </c>
      <c r="V29" s="730">
        <f t="shared" ref="V29" si="38">V30</f>
        <v>50912986.774999999</v>
      </c>
      <c r="W29" s="730">
        <f t="shared" ref="W29" si="39">W30</f>
        <v>0</v>
      </c>
      <c r="X29" s="730">
        <f t="shared" ref="X29" si="40">X30</f>
        <v>0</v>
      </c>
      <c r="Y29" s="730">
        <f t="shared" ref="Y29" si="41">Y30</f>
        <v>0</v>
      </c>
      <c r="Z29" s="730">
        <f t="shared" ref="Z29" si="42">Z30</f>
        <v>0</v>
      </c>
      <c r="AA29" s="730">
        <f t="shared" ref="AA29" si="43">AA30</f>
        <v>47386.716</v>
      </c>
      <c r="AB29" s="730">
        <f t="shared" ref="AB29" si="44">AB30</f>
        <v>0</v>
      </c>
      <c r="AC29" s="730">
        <f t="shared" ref="AC29" si="45">AC30</f>
        <v>0</v>
      </c>
      <c r="AD29" s="730">
        <f t="shared" ref="AD29" si="46">AD30</f>
        <v>47386.716</v>
      </c>
      <c r="AE29" s="742"/>
      <c r="AF29" s="742"/>
      <c r="AG29" s="743"/>
      <c r="AH29" s="743"/>
      <c r="AI29" s="743"/>
      <c r="AJ29" s="742"/>
      <c r="AK29" s="742"/>
      <c r="AL29" s="742"/>
      <c r="AM29" s="742"/>
      <c r="AN29" s="742"/>
      <c r="AO29" s="742"/>
      <c r="AP29" s="742"/>
      <c r="AQ29" s="742"/>
      <c r="AR29" s="742"/>
      <c r="AS29" s="742"/>
      <c r="AT29" s="742"/>
      <c r="AU29" s="742"/>
      <c r="AV29" s="742"/>
      <c r="AW29" s="742"/>
      <c r="AX29" s="742"/>
      <c r="AY29" s="742"/>
      <c r="AZ29" s="742"/>
      <c r="BA29" s="742"/>
      <c r="BB29" s="742"/>
      <c r="BC29" s="742"/>
      <c r="BD29" s="742"/>
      <c r="BE29" s="742"/>
      <c r="BF29" s="720"/>
      <c r="BG29" s="720"/>
      <c r="BH29" s="720"/>
      <c r="BI29" s="720"/>
      <c r="BJ29" s="720"/>
    </row>
    <row r="30" spans="1:64" s="530" customFormat="1" ht="24" customHeight="1" x14ac:dyDescent="0.2">
      <c r="A30" s="626"/>
      <c r="B30" s="512" t="s">
        <v>322</v>
      </c>
      <c r="C30" s="626"/>
      <c r="D30" s="626"/>
      <c r="E30" s="688"/>
      <c r="F30" s="688"/>
      <c r="G30" s="730">
        <f t="shared" ref="G30:AD30" si="47">SUM(G31:G31)</f>
        <v>0</v>
      </c>
      <c r="H30" s="730">
        <f t="shared" si="47"/>
        <v>0</v>
      </c>
      <c r="I30" s="730">
        <f t="shared" si="47"/>
        <v>0</v>
      </c>
      <c r="J30" s="730">
        <f t="shared" si="47"/>
        <v>0</v>
      </c>
      <c r="K30" s="730">
        <f t="shared" si="47"/>
        <v>0</v>
      </c>
      <c r="L30" s="730">
        <f t="shared" si="47"/>
        <v>0</v>
      </c>
      <c r="M30" s="730">
        <f t="shared" si="47"/>
        <v>50912986.774999999</v>
      </c>
      <c r="N30" s="730">
        <f t="shared" si="47"/>
        <v>0</v>
      </c>
      <c r="O30" s="730">
        <f t="shared" si="47"/>
        <v>0</v>
      </c>
      <c r="P30" s="730">
        <f t="shared" si="47"/>
        <v>0</v>
      </c>
      <c r="Q30" s="730">
        <f t="shared" si="47"/>
        <v>50912986.774999999</v>
      </c>
      <c r="R30" s="730">
        <f t="shared" si="47"/>
        <v>50912986.774999999</v>
      </c>
      <c r="S30" s="730">
        <f t="shared" si="47"/>
        <v>0</v>
      </c>
      <c r="T30" s="730">
        <f t="shared" si="47"/>
        <v>0</v>
      </c>
      <c r="U30" s="730">
        <f t="shared" si="47"/>
        <v>0</v>
      </c>
      <c r="V30" s="730">
        <f t="shared" si="47"/>
        <v>50912986.774999999</v>
      </c>
      <c r="W30" s="730">
        <f t="shared" si="47"/>
        <v>0</v>
      </c>
      <c r="X30" s="730">
        <f t="shared" si="47"/>
        <v>0</v>
      </c>
      <c r="Y30" s="730">
        <f t="shared" si="47"/>
        <v>0</v>
      </c>
      <c r="Z30" s="730">
        <f t="shared" si="47"/>
        <v>0</v>
      </c>
      <c r="AA30" s="730">
        <f t="shared" si="47"/>
        <v>47386.716</v>
      </c>
      <c r="AB30" s="730">
        <f t="shared" si="47"/>
        <v>0</v>
      </c>
      <c r="AC30" s="730">
        <f t="shared" si="47"/>
        <v>0</v>
      </c>
      <c r="AD30" s="730">
        <f t="shared" si="47"/>
        <v>47386.716</v>
      </c>
      <c r="AE30" s="742"/>
      <c r="AF30" s="742"/>
      <c r="AG30" s="744"/>
      <c r="AH30" s="744"/>
      <c r="AI30" s="744"/>
      <c r="AJ30" s="742"/>
      <c r="AK30" s="742"/>
      <c r="AL30" s="742"/>
      <c r="AM30" s="742"/>
      <c r="AN30" s="742"/>
      <c r="AO30" s="742"/>
      <c r="AP30" s="742"/>
      <c r="AQ30" s="742"/>
      <c r="AR30" s="742"/>
      <c r="AS30" s="742"/>
      <c r="AT30" s="742"/>
      <c r="AU30" s="742"/>
      <c r="AV30" s="742"/>
      <c r="AW30" s="742"/>
      <c r="AX30" s="742"/>
      <c r="AY30" s="742"/>
      <c r="AZ30" s="742"/>
      <c r="BA30" s="742"/>
      <c r="BB30" s="742"/>
      <c r="BC30" s="742"/>
      <c r="BD30" s="742"/>
      <c r="BE30" s="742"/>
      <c r="BF30" s="720"/>
      <c r="BG30" s="720"/>
      <c r="BH30" s="720"/>
      <c r="BI30" s="720"/>
      <c r="BJ30" s="720"/>
    </row>
    <row r="31" spans="1:64" s="745" customFormat="1" ht="51" customHeight="1" x14ac:dyDescent="0.2">
      <c r="A31" s="688" t="s">
        <v>8</v>
      </c>
      <c r="B31" s="732" t="s">
        <v>444</v>
      </c>
      <c r="C31" s="626"/>
      <c r="D31" s="626"/>
      <c r="E31" s="688"/>
      <c r="F31" s="735"/>
      <c r="G31" s="722">
        <f>SUM(H31:L31)</f>
        <v>0</v>
      </c>
      <c r="H31" s="765"/>
      <c r="I31" s="765"/>
      <c r="J31" s="765"/>
      <c r="K31" s="766"/>
      <c r="L31" s="722"/>
      <c r="M31" s="722">
        <f>SUM(N31:Q31)</f>
        <v>50912986.774999999</v>
      </c>
      <c r="N31" s="722"/>
      <c r="O31" s="722"/>
      <c r="P31" s="722"/>
      <c r="Q31" s="722">
        <v>50912986.774999999</v>
      </c>
      <c r="R31" s="722">
        <f>SUM(S31:V31)</f>
        <v>50912986.774999999</v>
      </c>
      <c r="S31" s="722"/>
      <c r="T31" s="722"/>
      <c r="U31" s="722"/>
      <c r="V31" s="722">
        <v>50912986.774999999</v>
      </c>
      <c r="W31" s="722">
        <f>SUM(X31:Z31)</f>
        <v>0</v>
      </c>
      <c r="X31" s="722"/>
      <c r="Y31" s="722"/>
      <c r="Z31" s="722"/>
      <c r="AA31" s="722">
        <f>SUM(AB31:AK31)</f>
        <v>47386.716</v>
      </c>
      <c r="AB31" s="722"/>
      <c r="AC31" s="722"/>
      <c r="AD31" s="722">
        <v>47386.716</v>
      </c>
      <c r="AE31" s="742"/>
      <c r="AF31" s="724" t="s">
        <v>381</v>
      </c>
      <c r="AG31" s="744"/>
      <c r="AH31" s="744" t="s">
        <v>371</v>
      </c>
      <c r="AI31" s="744"/>
      <c r="AJ31" s="742"/>
      <c r="AK31" s="742"/>
      <c r="AL31" s="742"/>
      <c r="AM31" s="742"/>
      <c r="AN31" s="742"/>
      <c r="AO31" s="742"/>
      <c r="AP31" s="742"/>
      <c r="AQ31" s="742"/>
      <c r="AR31" s="742"/>
      <c r="AS31" s="742"/>
      <c r="AT31" s="742"/>
      <c r="AU31" s="742"/>
      <c r="AV31" s="742"/>
      <c r="AW31" s="742"/>
      <c r="AX31" s="742"/>
      <c r="AY31" s="742"/>
      <c r="AZ31" s="742"/>
      <c r="BA31" s="742"/>
      <c r="BB31" s="742"/>
      <c r="BC31" s="742"/>
      <c r="BD31" s="742"/>
      <c r="BE31" s="742"/>
      <c r="BF31" s="726"/>
      <c r="BG31" s="726" t="e">
        <f>#REF!/#REF!</f>
        <v>#REF!</v>
      </c>
      <c r="BH31" s="726"/>
      <c r="BI31" s="726"/>
      <c r="BJ31" s="726"/>
    </row>
    <row r="32" spans="1:64" s="530" customFormat="1" ht="21.75" customHeight="1" x14ac:dyDescent="0.2">
      <c r="A32" s="626" t="s">
        <v>12</v>
      </c>
      <c r="B32" s="512" t="s">
        <v>439</v>
      </c>
      <c r="C32" s="626"/>
      <c r="D32" s="626"/>
      <c r="E32" s="626"/>
      <c r="F32" s="626"/>
      <c r="G32" s="730">
        <f>G33</f>
        <v>1310700</v>
      </c>
      <c r="H32" s="730">
        <f t="shared" ref="H32" si="48">H33</f>
        <v>0</v>
      </c>
      <c r="I32" s="730">
        <f t="shared" ref="I32" si="49">I33</f>
        <v>0</v>
      </c>
      <c r="J32" s="730">
        <f t="shared" ref="J32" si="50">J33</f>
        <v>0</v>
      </c>
      <c r="K32" s="730">
        <f t="shared" ref="K32" si="51">K33</f>
        <v>1310700</v>
      </c>
      <c r="L32" s="730">
        <f t="shared" ref="L32" si="52">L33</f>
        <v>0</v>
      </c>
      <c r="M32" s="730">
        <f t="shared" ref="M32" si="53">M33</f>
        <v>1310700</v>
      </c>
      <c r="N32" s="730">
        <f t="shared" ref="N32" si="54">N33</f>
        <v>0</v>
      </c>
      <c r="O32" s="730">
        <f t="shared" ref="O32" si="55">O33</f>
        <v>0</v>
      </c>
      <c r="P32" s="730">
        <f t="shared" ref="P32" si="56">P33</f>
        <v>0</v>
      </c>
      <c r="Q32" s="730">
        <f t="shared" ref="Q32" si="57">Q33</f>
        <v>1310700</v>
      </c>
      <c r="R32" s="730">
        <f t="shared" ref="R32" si="58">R33</f>
        <v>1310700</v>
      </c>
      <c r="S32" s="730">
        <f t="shared" ref="S32" si="59">S33</f>
        <v>0</v>
      </c>
      <c r="T32" s="730">
        <f t="shared" ref="T32" si="60">T33</f>
        <v>0</v>
      </c>
      <c r="U32" s="730">
        <f t="shared" ref="U32" si="61">U33</f>
        <v>0</v>
      </c>
      <c r="V32" s="730">
        <f t="shared" ref="V32" si="62">V33</f>
        <v>1310700</v>
      </c>
      <c r="W32" s="730">
        <f t="shared" ref="W32" si="63">W33</f>
        <v>0</v>
      </c>
      <c r="X32" s="730">
        <f t="shared" ref="X32" si="64">X33</f>
        <v>0</v>
      </c>
      <c r="Y32" s="730">
        <f t="shared" ref="Y32" si="65">Y33</f>
        <v>0</v>
      </c>
      <c r="Z32" s="730">
        <f t="shared" ref="Z32" si="66">Z33</f>
        <v>0</v>
      </c>
      <c r="AA32" s="730">
        <f t="shared" ref="AA32" si="67">AA33</f>
        <v>1070700</v>
      </c>
      <c r="AB32" s="730">
        <f t="shared" ref="AB32" si="68">AB33</f>
        <v>0</v>
      </c>
      <c r="AC32" s="730">
        <f t="shared" ref="AC32" si="69">AC33</f>
        <v>0</v>
      </c>
      <c r="AD32" s="730">
        <f t="shared" ref="AD32" si="70">AD33</f>
        <v>1070700</v>
      </c>
      <c r="AE32" s="742"/>
      <c r="AF32" s="742"/>
      <c r="AG32" s="743"/>
      <c r="AH32" s="743"/>
      <c r="AI32" s="743"/>
      <c r="AJ32" s="742"/>
      <c r="AK32" s="742"/>
      <c r="AL32" s="742"/>
      <c r="AM32" s="742"/>
      <c r="AN32" s="742"/>
      <c r="AO32" s="742"/>
      <c r="AP32" s="742"/>
      <c r="AQ32" s="742"/>
      <c r="AR32" s="742"/>
      <c r="AS32" s="742"/>
      <c r="AT32" s="742"/>
      <c r="AU32" s="742"/>
      <c r="AV32" s="742"/>
      <c r="AW32" s="742"/>
      <c r="AX32" s="742"/>
      <c r="AY32" s="742"/>
      <c r="AZ32" s="742"/>
      <c r="BA32" s="742"/>
      <c r="BB32" s="742"/>
      <c r="BC32" s="742"/>
      <c r="BD32" s="742"/>
      <c r="BE32" s="742"/>
      <c r="BF32" s="720"/>
      <c r="BG32" s="720"/>
      <c r="BH32" s="720"/>
      <c r="BI32" s="720"/>
      <c r="BJ32" s="720"/>
    </row>
    <row r="33" spans="1:62" s="530" customFormat="1" ht="24" customHeight="1" x14ac:dyDescent="0.2">
      <c r="A33" s="626"/>
      <c r="B33" s="512" t="s">
        <v>322</v>
      </c>
      <c r="C33" s="626"/>
      <c r="D33" s="626"/>
      <c r="E33" s="688"/>
      <c r="F33" s="688"/>
      <c r="G33" s="730">
        <f>SUM(G34:G35)</f>
        <v>1310700</v>
      </c>
      <c r="H33" s="730">
        <f t="shared" ref="H33:AB33" si="71">SUM(H34:H35)</f>
        <v>0</v>
      </c>
      <c r="I33" s="730">
        <f t="shared" si="71"/>
        <v>0</v>
      </c>
      <c r="J33" s="730">
        <f t="shared" si="71"/>
        <v>0</v>
      </c>
      <c r="K33" s="730">
        <f t="shared" si="71"/>
        <v>1310700</v>
      </c>
      <c r="L33" s="730">
        <f t="shared" si="71"/>
        <v>0</v>
      </c>
      <c r="M33" s="730">
        <f t="shared" si="71"/>
        <v>1310700</v>
      </c>
      <c r="N33" s="730">
        <f t="shared" si="71"/>
        <v>0</v>
      </c>
      <c r="O33" s="730">
        <f t="shared" si="71"/>
        <v>0</v>
      </c>
      <c r="P33" s="730">
        <f t="shared" si="71"/>
        <v>0</v>
      </c>
      <c r="Q33" s="730">
        <f t="shared" si="71"/>
        <v>1310700</v>
      </c>
      <c r="R33" s="730">
        <f t="shared" si="71"/>
        <v>1310700</v>
      </c>
      <c r="S33" s="730">
        <f t="shared" si="71"/>
        <v>0</v>
      </c>
      <c r="T33" s="730">
        <f t="shared" si="71"/>
        <v>0</v>
      </c>
      <c r="U33" s="730">
        <f t="shared" si="71"/>
        <v>0</v>
      </c>
      <c r="V33" s="730">
        <f t="shared" si="71"/>
        <v>1310700</v>
      </c>
      <c r="W33" s="730">
        <f t="shared" si="71"/>
        <v>0</v>
      </c>
      <c r="X33" s="730">
        <f t="shared" si="71"/>
        <v>0</v>
      </c>
      <c r="Y33" s="730">
        <f t="shared" si="71"/>
        <v>0</v>
      </c>
      <c r="Z33" s="730">
        <f t="shared" si="71"/>
        <v>0</v>
      </c>
      <c r="AA33" s="730">
        <f t="shared" si="71"/>
        <v>1070700</v>
      </c>
      <c r="AB33" s="730">
        <f t="shared" si="71"/>
        <v>0</v>
      </c>
      <c r="AC33" s="730">
        <f t="shared" ref="AC33:AD33" si="72">AC34+AC35</f>
        <v>0</v>
      </c>
      <c r="AD33" s="730">
        <f t="shared" si="72"/>
        <v>1070700</v>
      </c>
      <c r="AE33" s="742"/>
      <c r="AF33" s="742"/>
      <c r="AG33" s="744"/>
      <c r="AH33" s="744"/>
      <c r="AI33" s="744"/>
      <c r="AJ33" s="742"/>
      <c r="AK33" s="742"/>
      <c r="AL33" s="742"/>
      <c r="AM33" s="742"/>
      <c r="AN33" s="742"/>
      <c r="AO33" s="742"/>
      <c r="AP33" s="742"/>
      <c r="AQ33" s="742"/>
      <c r="AR33" s="742"/>
      <c r="AS33" s="742"/>
      <c r="AT33" s="742"/>
      <c r="AU33" s="742"/>
      <c r="AV33" s="742"/>
      <c r="AW33" s="742"/>
      <c r="AX33" s="742"/>
      <c r="AY33" s="742"/>
      <c r="AZ33" s="742"/>
      <c r="BA33" s="742"/>
      <c r="BB33" s="742"/>
      <c r="BC33" s="742"/>
      <c r="BD33" s="742"/>
      <c r="BE33" s="742"/>
      <c r="BF33" s="720"/>
      <c r="BG33" s="720"/>
      <c r="BH33" s="720"/>
      <c r="BI33" s="720"/>
      <c r="BJ33" s="720"/>
    </row>
    <row r="34" spans="1:62" s="745" customFormat="1" ht="57" customHeight="1" x14ac:dyDescent="0.2">
      <c r="A34" s="688" t="s">
        <v>40</v>
      </c>
      <c r="B34" s="732" t="s">
        <v>445</v>
      </c>
      <c r="C34" s="626"/>
      <c r="D34" s="626"/>
      <c r="E34" s="688"/>
      <c r="F34" s="699" t="s">
        <v>496</v>
      </c>
      <c r="G34" s="722">
        <f>SUM(H34:L34)</f>
        <v>622200</v>
      </c>
      <c r="H34" s="765"/>
      <c r="I34" s="765"/>
      <c r="J34" s="765"/>
      <c r="K34" s="766">
        <v>622200</v>
      </c>
      <c r="L34" s="722"/>
      <c r="M34" s="722">
        <f>SUM(N34:Q34)</f>
        <v>622200</v>
      </c>
      <c r="N34" s="722"/>
      <c r="O34" s="722"/>
      <c r="P34" s="722"/>
      <c r="Q34" s="722">
        <v>622200</v>
      </c>
      <c r="R34" s="722">
        <f>SUM(S34:V34)</f>
        <v>622200</v>
      </c>
      <c r="S34" s="722"/>
      <c r="T34" s="722"/>
      <c r="U34" s="722"/>
      <c r="V34" s="722">
        <v>622200</v>
      </c>
      <c r="W34" s="722">
        <f>SUM(X34:Z34)</f>
        <v>0</v>
      </c>
      <c r="X34" s="722"/>
      <c r="Y34" s="722"/>
      <c r="Z34" s="722"/>
      <c r="AA34" s="722">
        <f>SUM(AB34:AK34)</f>
        <v>622200</v>
      </c>
      <c r="AB34" s="722"/>
      <c r="AC34" s="722"/>
      <c r="AD34" s="722">
        <v>622200</v>
      </c>
      <c r="AE34" s="742"/>
      <c r="AF34" s="724" t="s">
        <v>381</v>
      </c>
      <c r="AG34" s="744"/>
      <c r="AH34" s="744" t="s">
        <v>371</v>
      </c>
      <c r="AI34" s="744"/>
      <c r="AJ34" s="742"/>
      <c r="AK34" s="742"/>
      <c r="AL34" s="742"/>
      <c r="AM34" s="742"/>
      <c r="AN34" s="742"/>
      <c r="AO34" s="742"/>
      <c r="AP34" s="742"/>
      <c r="AQ34" s="742"/>
      <c r="AR34" s="742"/>
      <c r="AS34" s="742"/>
      <c r="AT34" s="742"/>
      <c r="AU34" s="742"/>
      <c r="AV34" s="742"/>
      <c r="AW34" s="742"/>
      <c r="AX34" s="742"/>
      <c r="AY34" s="742"/>
      <c r="AZ34" s="742"/>
      <c r="BA34" s="742"/>
      <c r="BB34" s="742"/>
      <c r="BC34" s="742"/>
      <c r="BD34" s="742"/>
      <c r="BE34" s="742"/>
      <c r="BF34" s="726"/>
      <c r="BG34" s="726"/>
      <c r="BH34" s="726"/>
      <c r="BI34" s="726"/>
      <c r="BJ34" s="726"/>
    </row>
    <row r="35" spans="1:62" s="701" customFormat="1" ht="48" customHeight="1" x14ac:dyDescent="0.2">
      <c r="A35" s="729" t="s">
        <v>41</v>
      </c>
      <c r="B35" s="732" t="s">
        <v>440</v>
      </c>
      <c r="C35" s="380"/>
      <c r="D35" s="380"/>
      <c r="E35" s="729"/>
      <c r="F35" s="699" t="s">
        <v>497</v>
      </c>
      <c r="G35" s="722">
        <f>SUM(H35:L35)</f>
        <v>688500</v>
      </c>
      <c r="H35" s="765"/>
      <c r="I35" s="765"/>
      <c r="J35" s="765"/>
      <c r="K35" s="766">
        <v>688500</v>
      </c>
      <c r="L35" s="768"/>
      <c r="M35" s="722">
        <f>SUM(N35:Q35)</f>
        <v>688500</v>
      </c>
      <c r="N35" s="768"/>
      <c r="O35" s="768"/>
      <c r="P35" s="768"/>
      <c r="Q35" s="768">
        <f>448500+240000</f>
        <v>688500</v>
      </c>
      <c r="R35" s="722">
        <f>SUM(S35:V35)</f>
        <v>688500</v>
      </c>
      <c r="S35" s="768"/>
      <c r="T35" s="768"/>
      <c r="U35" s="768"/>
      <c r="V35" s="768">
        <f>448500+240000</f>
        <v>688500</v>
      </c>
      <c r="W35" s="722">
        <f>SUM(X35:Z35)</f>
        <v>0</v>
      </c>
      <c r="X35" s="768"/>
      <c r="Y35" s="768"/>
      <c r="Z35" s="768"/>
      <c r="AA35" s="722">
        <f>SUM(AB35:AK35)</f>
        <v>448500</v>
      </c>
      <c r="AB35" s="768"/>
      <c r="AC35" s="768"/>
      <c r="AD35" s="768">
        <v>448500</v>
      </c>
      <c r="AE35" s="702"/>
      <c r="AF35" s="733" t="s">
        <v>381</v>
      </c>
      <c r="AG35" s="731"/>
      <c r="AH35" s="731" t="s">
        <v>371</v>
      </c>
      <c r="AI35" s="731"/>
      <c r="AJ35" s="702"/>
      <c r="AK35" s="702"/>
      <c r="AL35" s="702"/>
      <c r="AM35" s="702"/>
      <c r="AN35" s="702"/>
      <c r="AO35" s="702"/>
      <c r="AP35" s="702"/>
      <c r="AQ35" s="702"/>
      <c r="AR35" s="702"/>
      <c r="AS35" s="702"/>
      <c r="AT35" s="702"/>
      <c r="AU35" s="702"/>
      <c r="AV35" s="702"/>
      <c r="AW35" s="702"/>
      <c r="AX35" s="702"/>
      <c r="AY35" s="702"/>
      <c r="AZ35" s="702"/>
      <c r="BA35" s="702"/>
      <c r="BB35" s="702"/>
      <c r="BC35" s="702"/>
      <c r="BD35" s="702"/>
      <c r="BE35" s="702"/>
      <c r="BF35" s="726"/>
      <c r="BG35" s="726"/>
      <c r="BH35" s="726"/>
      <c r="BI35" s="726"/>
      <c r="BJ35" s="726"/>
    </row>
    <row r="36" spans="1:62" s="705" customFormat="1" ht="21.75" customHeight="1" x14ac:dyDescent="0.2">
      <c r="A36" s="718" t="s">
        <v>19</v>
      </c>
      <c r="B36" s="719" t="s">
        <v>441</v>
      </c>
      <c r="C36" s="380"/>
      <c r="D36" s="380"/>
      <c r="E36" s="380"/>
      <c r="F36" s="380"/>
      <c r="G36" s="728">
        <f>G37</f>
        <v>1095200</v>
      </c>
      <c r="H36" s="728">
        <f t="shared" ref="H36:BE36" si="73">H37</f>
        <v>0</v>
      </c>
      <c r="I36" s="728">
        <f t="shared" si="73"/>
        <v>0</v>
      </c>
      <c r="J36" s="728">
        <f t="shared" si="73"/>
        <v>0</v>
      </c>
      <c r="K36" s="728">
        <f t="shared" si="73"/>
        <v>1095200</v>
      </c>
      <c r="L36" s="728">
        <f t="shared" si="73"/>
        <v>0</v>
      </c>
      <c r="M36" s="728">
        <f t="shared" si="73"/>
        <v>1095200</v>
      </c>
      <c r="N36" s="728">
        <f t="shared" si="73"/>
        <v>0</v>
      </c>
      <c r="O36" s="728">
        <f t="shared" si="73"/>
        <v>0</v>
      </c>
      <c r="P36" s="728">
        <f t="shared" si="73"/>
        <v>0</v>
      </c>
      <c r="Q36" s="728">
        <f t="shared" si="73"/>
        <v>1095200</v>
      </c>
      <c r="R36" s="728">
        <f t="shared" si="73"/>
        <v>1095200</v>
      </c>
      <c r="S36" s="728">
        <f t="shared" si="73"/>
        <v>0</v>
      </c>
      <c r="T36" s="728">
        <f t="shared" si="73"/>
        <v>0</v>
      </c>
      <c r="U36" s="728">
        <f t="shared" si="73"/>
        <v>0</v>
      </c>
      <c r="V36" s="728">
        <f t="shared" si="73"/>
        <v>1095200</v>
      </c>
      <c r="W36" s="728">
        <f t="shared" si="73"/>
        <v>0</v>
      </c>
      <c r="X36" s="728">
        <f t="shared" si="73"/>
        <v>0</v>
      </c>
      <c r="Y36" s="728">
        <f t="shared" si="73"/>
        <v>0</v>
      </c>
      <c r="Z36" s="728">
        <f t="shared" si="73"/>
        <v>0</v>
      </c>
      <c r="AA36" s="728">
        <f t="shared" si="73"/>
        <v>588000</v>
      </c>
      <c r="AB36" s="728">
        <f t="shared" si="73"/>
        <v>0</v>
      </c>
      <c r="AC36" s="728">
        <f t="shared" si="73"/>
        <v>0</v>
      </c>
      <c r="AD36" s="728">
        <f t="shared" si="73"/>
        <v>588000</v>
      </c>
      <c r="AE36" s="727">
        <f t="shared" si="73"/>
        <v>0</v>
      </c>
      <c r="AF36" s="727">
        <f t="shared" si="73"/>
        <v>0</v>
      </c>
      <c r="AG36" s="727">
        <f t="shared" si="73"/>
        <v>0</v>
      </c>
      <c r="AH36" s="727">
        <f t="shared" si="73"/>
        <v>0</v>
      </c>
      <c r="AI36" s="727">
        <f t="shared" si="73"/>
        <v>0</v>
      </c>
      <c r="AJ36" s="727">
        <f t="shared" si="73"/>
        <v>0</v>
      </c>
      <c r="AK36" s="727">
        <f t="shared" si="73"/>
        <v>0</v>
      </c>
      <c r="AL36" s="727">
        <f t="shared" si="73"/>
        <v>0</v>
      </c>
      <c r="AM36" s="727">
        <f t="shared" si="73"/>
        <v>0</v>
      </c>
      <c r="AN36" s="727">
        <f t="shared" si="73"/>
        <v>0</v>
      </c>
      <c r="AO36" s="727">
        <f t="shared" si="73"/>
        <v>0</v>
      </c>
      <c r="AP36" s="727">
        <f t="shared" si="73"/>
        <v>0</v>
      </c>
      <c r="AQ36" s="727">
        <f t="shared" si="73"/>
        <v>0</v>
      </c>
      <c r="AR36" s="727">
        <f t="shared" si="73"/>
        <v>0</v>
      </c>
      <c r="AS36" s="727">
        <f t="shared" si="73"/>
        <v>0</v>
      </c>
      <c r="AT36" s="727">
        <f t="shared" si="73"/>
        <v>0</v>
      </c>
      <c r="AU36" s="727">
        <f t="shared" si="73"/>
        <v>0</v>
      </c>
      <c r="AV36" s="727">
        <f t="shared" si="73"/>
        <v>0</v>
      </c>
      <c r="AW36" s="727">
        <f t="shared" si="73"/>
        <v>0</v>
      </c>
      <c r="AX36" s="727">
        <f t="shared" si="73"/>
        <v>0</v>
      </c>
      <c r="AY36" s="727">
        <f t="shared" si="73"/>
        <v>0</v>
      </c>
      <c r="AZ36" s="727">
        <f t="shared" si="73"/>
        <v>0</v>
      </c>
      <c r="BA36" s="727">
        <f t="shared" si="73"/>
        <v>0</v>
      </c>
      <c r="BB36" s="727">
        <f t="shared" si="73"/>
        <v>0</v>
      </c>
      <c r="BC36" s="727">
        <f t="shared" si="73"/>
        <v>0</v>
      </c>
      <c r="BD36" s="727">
        <f t="shared" si="73"/>
        <v>0</v>
      </c>
      <c r="BE36" s="727">
        <f t="shared" si="73"/>
        <v>0</v>
      </c>
      <c r="BF36" s="720"/>
      <c r="BG36" s="720"/>
      <c r="BH36" s="720"/>
      <c r="BI36" s="720"/>
      <c r="BJ36" s="720"/>
    </row>
    <row r="37" spans="1:62" s="705" customFormat="1" ht="24" customHeight="1" x14ac:dyDescent="0.2">
      <c r="A37" s="718"/>
      <c r="B37" s="719" t="s">
        <v>322</v>
      </c>
      <c r="C37" s="380"/>
      <c r="D37" s="380"/>
      <c r="E37" s="729"/>
      <c r="F37" s="729"/>
      <c r="G37" s="730">
        <f>SUM(G38:G38)</f>
        <v>1095200</v>
      </c>
      <c r="H37" s="730">
        <f t="shared" ref="H37:BE37" si="74">SUM(H38:H38)</f>
        <v>0</v>
      </c>
      <c r="I37" s="730">
        <f t="shared" si="74"/>
        <v>0</v>
      </c>
      <c r="J37" s="730">
        <f t="shared" si="74"/>
        <v>0</v>
      </c>
      <c r="K37" s="730">
        <f t="shared" si="74"/>
        <v>1095200</v>
      </c>
      <c r="L37" s="730">
        <f t="shared" si="74"/>
        <v>0</v>
      </c>
      <c r="M37" s="730">
        <f t="shared" si="74"/>
        <v>1095200</v>
      </c>
      <c r="N37" s="730">
        <f t="shared" si="74"/>
        <v>0</v>
      </c>
      <c r="O37" s="730">
        <f t="shared" si="74"/>
        <v>0</v>
      </c>
      <c r="P37" s="730">
        <f t="shared" si="74"/>
        <v>0</v>
      </c>
      <c r="Q37" s="730">
        <f t="shared" si="74"/>
        <v>1095200</v>
      </c>
      <c r="R37" s="730">
        <f t="shared" si="74"/>
        <v>1095200</v>
      </c>
      <c r="S37" s="730">
        <f t="shared" si="74"/>
        <v>0</v>
      </c>
      <c r="T37" s="730">
        <f t="shared" si="74"/>
        <v>0</v>
      </c>
      <c r="U37" s="730">
        <f t="shared" si="74"/>
        <v>0</v>
      </c>
      <c r="V37" s="730">
        <f t="shared" si="74"/>
        <v>1095200</v>
      </c>
      <c r="W37" s="730">
        <f t="shared" si="74"/>
        <v>0</v>
      </c>
      <c r="X37" s="730">
        <f t="shared" si="74"/>
        <v>0</v>
      </c>
      <c r="Y37" s="730">
        <f t="shared" si="74"/>
        <v>0</v>
      </c>
      <c r="Z37" s="730">
        <f t="shared" si="74"/>
        <v>0</v>
      </c>
      <c r="AA37" s="730">
        <f t="shared" si="74"/>
        <v>588000</v>
      </c>
      <c r="AB37" s="730">
        <f t="shared" si="74"/>
        <v>0</v>
      </c>
      <c r="AC37" s="730">
        <f t="shared" si="74"/>
        <v>0</v>
      </c>
      <c r="AD37" s="730">
        <f t="shared" si="74"/>
        <v>588000</v>
      </c>
      <c r="AE37" s="463">
        <f t="shared" si="74"/>
        <v>0</v>
      </c>
      <c r="AF37" s="463">
        <f t="shared" si="74"/>
        <v>0</v>
      </c>
      <c r="AG37" s="463">
        <f t="shared" si="74"/>
        <v>0</v>
      </c>
      <c r="AH37" s="463">
        <f t="shared" si="74"/>
        <v>0</v>
      </c>
      <c r="AI37" s="463">
        <f t="shared" si="74"/>
        <v>0</v>
      </c>
      <c r="AJ37" s="463">
        <f t="shared" si="74"/>
        <v>0</v>
      </c>
      <c r="AK37" s="463">
        <f t="shared" si="74"/>
        <v>0</v>
      </c>
      <c r="AL37" s="463">
        <f t="shared" si="74"/>
        <v>0</v>
      </c>
      <c r="AM37" s="463">
        <f t="shared" si="74"/>
        <v>0</v>
      </c>
      <c r="AN37" s="463">
        <f t="shared" si="74"/>
        <v>0</v>
      </c>
      <c r="AO37" s="463">
        <f t="shared" si="74"/>
        <v>0</v>
      </c>
      <c r="AP37" s="463">
        <f t="shared" si="74"/>
        <v>0</v>
      </c>
      <c r="AQ37" s="463">
        <f t="shared" si="74"/>
        <v>0</v>
      </c>
      <c r="AR37" s="463">
        <f t="shared" si="74"/>
        <v>0</v>
      </c>
      <c r="AS37" s="463">
        <f t="shared" si="74"/>
        <v>0</v>
      </c>
      <c r="AT37" s="463">
        <f t="shared" si="74"/>
        <v>0</v>
      </c>
      <c r="AU37" s="463">
        <f t="shared" si="74"/>
        <v>0</v>
      </c>
      <c r="AV37" s="463">
        <f t="shared" si="74"/>
        <v>0</v>
      </c>
      <c r="AW37" s="463">
        <f t="shared" si="74"/>
        <v>0</v>
      </c>
      <c r="AX37" s="463">
        <f t="shared" si="74"/>
        <v>0</v>
      </c>
      <c r="AY37" s="463">
        <f t="shared" si="74"/>
        <v>0</v>
      </c>
      <c r="AZ37" s="463">
        <f t="shared" si="74"/>
        <v>0</v>
      </c>
      <c r="BA37" s="463">
        <f t="shared" si="74"/>
        <v>0</v>
      </c>
      <c r="BB37" s="463">
        <f t="shared" si="74"/>
        <v>0</v>
      </c>
      <c r="BC37" s="463">
        <f t="shared" si="74"/>
        <v>0</v>
      </c>
      <c r="BD37" s="463">
        <f t="shared" si="74"/>
        <v>0</v>
      </c>
      <c r="BE37" s="463">
        <f t="shared" si="74"/>
        <v>0</v>
      </c>
      <c r="BF37" s="720"/>
      <c r="BG37" s="720"/>
      <c r="BH37" s="720"/>
      <c r="BI37" s="720"/>
      <c r="BJ37" s="720"/>
    </row>
    <row r="38" spans="1:62" s="701" customFormat="1" ht="44.25" customHeight="1" x14ac:dyDescent="0.2">
      <c r="A38" s="729" t="s">
        <v>352</v>
      </c>
      <c r="B38" s="732" t="s">
        <v>442</v>
      </c>
      <c r="C38" s="380"/>
      <c r="D38" s="380"/>
      <c r="E38" s="729"/>
      <c r="F38" s="699" t="s">
        <v>498</v>
      </c>
      <c r="G38" s="722">
        <f>SUM(H38:L38)</f>
        <v>1095200</v>
      </c>
      <c r="H38" s="765"/>
      <c r="I38" s="765"/>
      <c r="J38" s="765"/>
      <c r="K38" s="766">
        <v>1095200</v>
      </c>
      <c r="L38" s="768"/>
      <c r="M38" s="722">
        <f>SUM(N38:Q38)</f>
        <v>1095200</v>
      </c>
      <c r="N38" s="768"/>
      <c r="O38" s="768"/>
      <c r="P38" s="768"/>
      <c r="Q38" s="768">
        <f>588000+507200</f>
        <v>1095200</v>
      </c>
      <c r="R38" s="722">
        <f>SUM(S38:V38)</f>
        <v>1095200</v>
      </c>
      <c r="S38" s="768"/>
      <c r="T38" s="768"/>
      <c r="U38" s="768"/>
      <c r="V38" s="768">
        <f>507200+588000</f>
        <v>1095200</v>
      </c>
      <c r="W38" s="722">
        <f>SUM(X38:Z38)</f>
        <v>0</v>
      </c>
      <c r="X38" s="768"/>
      <c r="Y38" s="768"/>
      <c r="Z38" s="768"/>
      <c r="AA38" s="722">
        <f>SUM(AB38:AK38)</f>
        <v>588000</v>
      </c>
      <c r="AB38" s="768"/>
      <c r="AC38" s="768"/>
      <c r="AD38" s="768">
        <v>588000</v>
      </c>
      <c r="AE38" s="702"/>
      <c r="AF38" s="733" t="s">
        <v>381</v>
      </c>
      <c r="AG38" s="731"/>
      <c r="AH38" s="731" t="s">
        <v>371</v>
      </c>
      <c r="AI38" s="731"/>
      <c r="AJ38" s="702"/>
      <c r="AK38" s="702"/>
      <c r="AL38" s="702"/>
      <c r="AM38" s="702"/>
      <c r="AN38" s="702"/>
      <c r="AO38" s="702"/>
      <c r="AP38" s="702"/>
      <c r="AQ38" s="702"/>
      <c r="AR38" s="702"/>
      <c r="AS38" s="702"/>
      <c r="AT38" s="702"/>
      <c r="AU38" s="702"/>
      <c r="AV38" s="702"/>
      <c r="AW38" s="702"/>
      <c r="AX38" s="702"/>
      <c r="AY38" s="702"/>
      <c r="AZ38" s="702"/>
      <c r="BA38" s="702"/>
      <c r="BB38" s="702"/>
      <c r="BC38" s="702"/>
      <c r="BD38" s="702"/>
      <c r="BE38" s="702"/>
      <c r="BF38" s="726"/>
      <c r="BG38" s="726"/>
      <c r="BH38" s="726"/>
      <c r="BI38" s="726"/>
      <c r="BJ38" s="726"/>
    </row>
    <row r="39" spans="1:62" s="741" customFormat="1" ht="27.75" customHeight="1" x14ac:dyDescent="0.25">
      <c r="A39" s="627" t="s">
        <v>42</v>
      </c>
      <c r="B39" s="736" t="s">
        <v>446</v>
      </c>
      <c r="C39" s="736"/>
      <c r="D39" s="736"/>
      <c r="E39" s="736"/>
      <c r="F39" s="736"/>
      <c r="G39" s="746">
        <f>G40</f>
        <v>738000</v>
      </c>
      <c r="H39" s="746">
        <f t="shared" ref="H39:AD39" si="75">H40</f>
        <v>0</v>
      </c>
      <c r="I39" s="746">
        <f t="shared" si="75"/>
        <v>698000</v>
      </c>
      <c r="J39" s="746">
        <f t="shared" si="75"/>
        <v>40000</v>
      </c>
      <c r="K39" s="746">
        <f t="shared" si="75"/>
        <v>0</v>
      </c>
      <c r="L39" s="746">
        <f t="shared" si="75"/>
        <v>0</v>
      </c>
      <c r="M39" s="746">
        <f t="shared" si="75"/>
        <v>711929.79</v>
      </c>
      <c r="N39" s="746">
        <f t="shared" si="75"/>
        <v>0</v>
      </c>
      <c r="O39" s="746">
        <f t="shared" si="75"/>
        <v>698000</v>
      </c>
      <c r="P39" s="746">
        <f t="shared" si="75"/>
        <v>13929.79</v>
      </c>
      <c r="Q39" s="746">
        <f t="shared" si="75"/>
        <v>0</v>
      </c>
      <c r="R39" s="746">
        <f t="shared" si="75"/>
        <v>369000</v>
      </c>
      <c r="S39" s="746">
        <f t="shared" si="75"/>
        <v>0</v>
      </c>
      <c r="T39" s="746">
        <f t="shared" si="75"/>
        <v>0</v>
      </c>
      <c r="U39" s="746">
        <f t="shared" si="75"/>
        <v>0</v>
      </c>
      <c r="V39" s="746">
        <f t="shared" si="75"/>
        <v>369000</v>
      </c>
      <c r="W39" s="746">
        <f t="shared" si="75"/>
        <v>0</v>
      </c>
      <c r="X39" s="746">
        <f t="shared" si="75"/>
        <v>0</v>
      </c>
      <c r="Y39" s="746">
        <f t="shared" si="75"/>
        <v>0</v>
      </c>
      <c r="Z39" s="746">
        <f t="shared" si="75"/>
        <v>0</v>
      </c>
      <c r="AA39" s="746">
        <f t="shared" si="75"/>
        <v>60964.895000000004</v>
      </c>
      <c r="AB39" s="746">
        <f t="shared" si="75"/>
        <v>54000</v>
      </c>
      <c r="AC39" s="746">
        <f t="shared" si="75"/>
        <v>6964.8950000000004</v>
      </c>
      <c r="AD39" s="746">
        <f t="shared" si="75"/>
        <v>0</v>
      </c>
      <c r="AE39" s="737"/>
      <c r="AF39" s="737"/>
      <c r="AG39" s="738"/>
      <c r="AH39" s="738"/>
      <c r="AI39" s="738"/>
      <c r="AJ39" s="737"/>
      <c r="AK39" s="737"/>
      <c r="AL39" s="737"/>
      <c r="AM39" s="737"/>
      <c r="AN39" s="737"/>
      <c r="AO39" s="737"/>
      <c r="AP39" s="737"/>
      <c r="AQ39" s="737"/>
      <c r="AR39" s="737"/>
      <c r="AS39" s="737"/>
      <c r="AT39" s="737"/>
      <c r="AU39" s="737"/>
      <c r="AV39" s="737"/>
      <c r="AW39" s="737"/>
      <c r="AX39" s="737"/>
      <c r="AY39" s="737"/>
      <c r="AZ39" s="737"/>
      <c r="BA39" s="737"/>
      <c r="BB39" s="737"/>
      <c r="BC39" s="737"/>
      <c r="BD39" s="737"/>
      <c r="BE39" s="737"/>
      <c r="BF39" s="739"/>
      <c r="BG39" s="737"/>
      <c r="BH39" s="737"/>
      <c r="BI39" s="737"/>
      <c r="BJ39" s="740"/>
    </row>
    <row r="40" spans="1:62" s="753" customFormat="1" ht="55.5" customHeight="1" x14ac:dyDescent="0.25">
      <c r="A40" s="747" t="s">
        <v>6</v>
      </c>
      <c r="B40" s="736" t="s">
        <v>447</v>
      </c>
      <c r="C40" s="748"/>
      <c r="D40" s="748"/>
      <c r="E40" s="748"/>
      <c r="F40" s="748"/>
      <c r="G40" s="730">
        <f>G41+G43</f>
        <v>738000</v>
      </c>
      <c r="H40" s="730">
        <f t="shared" ref="H40:AD40" si="76">H41+H43</f>
        <v>0</v>
      </c>
      <c r="I40" s="730">
        <f t="shared" si="76"/>
        <v>698000</v>
      </c>
      <c r="J40" s="730">
        <f t="shared" si="76"/>
        <v>40000</v>
      </c>
      <c r="K40" s="730">
        <f t="shared" si="76"/>
        <v>0</v>
      </c>
      <c r="L40" s="730">
        <f t="shared" si="76"/>
        <v>0</v>
      </c>
      <c r="M40" s="730">
        <f t="shared" si="76"/>
        <v>711929.79</v>
      </c>
      <c r="N40" s="730">
        <f t="shared" si="76"/>
        <v>0</v>
      </c>
      <c r="O40" s="730">
        <f t="shared" si="76"/>
        <v>698000</v>
      </c>
      <c r="P40" s="730">
        <f t="shared" si="76"/>
        <v>13929.79</v>
      </c>
      <c r="Q40" s="730">
        <f t="shared" si="76"/>
        <v>0</v>
      </c>
      <c r="R40" s="730">
        <f t="shared" si="76"/>
        <v>369000</v>
      </c>
      <c r="S40" s="730">
        <f t="shared" si="76"/>
        <v>0</v>
      </c>
      <c r="T40" s="730">
        <f t="shared" si="76"/>
        <v>0</v>
      </c>
      <c r="U40" s="730">
        <f t="shared" si="76"/>
        <v>0</v>
      </c>
      <c r="V40" s="730">
        <f t="shared" si="76"/>
        <v>369000</v>
      </c>
      <c r="W40" s="730">
        <f t="shared" si="76"/>
        <v>0</v>
      </c>
      <c r="X40" s="730">
        <f t="shared" si="76"/>
        <v>0</v>
      </c>
      <c r="Y40" s="730">
        <f t="shared" si="76"/>
        <v>0</v>
      </c>
      <c r="Z40" s="730">
        <f t="shared" si="76"/>
        <v>0</v>
      </c>
      <c r="AA40" s="730">
        <f t="shared" si="76"/>
        <v>60964.895000000004</v>
      </c>
      <c r="AB40" s="730">
        <f t="shared" si="76"/>
        <v>54000</v>
      </c>
      <c r="AC40" s="730">
        <f t="shared" si="76"/>
        <v>6964.8950000000004</v>
      </c>
      <c r="AD40" s="730">
        <f t="shared" si="76"/>
        <v>0</v>
      </c>
      <c r="AE40" s="749"/>
      <c r="AF40" s="749"/>
      <c r="AG40" s="750"/>
      <c r="AH40" s="750"/>
      <c r="AI40" s="750"/>
      <c r="AJ40" s="749"/>
      <c r="AK40" s="749"/>
      <c r="AL40" s="749"/>
      <c r="AM40" s="749"/>
      <c r="AN40" s="749"/>
      <c r="AO40" s="749"/>
      <c r="AP40" s="749"/>
      <c r="AQ40" s="749"/>
      <c r="AR40" s="749"/>
      <c r="AS40" s="749"/>
      <c r="AT40" s="749"/>
      <c r="AU40" s="749"/>
      <c r="AV40" s="749"/>
      <c r="AW40" s="749"/>
      <c r="AX40" s="749"/>
      <c r="AY40" s="749"/>
      <c r="AZ40" s="749"/>
      <c r="BA40" s="749"/>
      <c r="BB40" s="749"/>
      <c r="BC40" s="749"/>
      <c r="BD40" s="749"/>
      <c r="BE40" s="749"/>
      <c r="BF40" s="751"/>
      <c r="BG40" s="749"/>
      <c r="BH40" s="749"/>
      <c r="BI40" s="749"/>
      <c r="BJ40" s="752"/>
    </row>
    <row r="41" spans="1:62" s="705" customFormat="1" ht="27" customHeight="1" x14ac:dyDescent="0.2">
      <c r="A41" s="747">
        <v>1</v>
      </c>
      <c r="B41" s="748" t="s">
        <v>448</v>
      </c>
      <c r="C41" s="748"/>
      <c r="D41" s="748"/>
      <c r="E41" s="748"/>
      <c r="F41" s="748"/>
      <c r="G41" s="730">
        <f>G42</f>
        <v>369000</v>
      </c>
      <c r="H41" s="730">
        <f t="shared" ref="H41:BE41" si="77">H42</f>
        <v>0</v>
      </c>
      <c r="I41" s="730">
        <f t="shared" si="77"/>
        <v>349000</v>
      </c>
      <c r="J41" s="730">
        <f t="shared" si="77"/>
        <v>20000</v>
      </c>
      <c r="K41" s="730">
        <f t="shared" si="77"/>
        <v>0</v>
      </c>
      <c r="L41" s="730">
        <f t="shared" si="77"/>
        <v>0</v>
      </c>
      <c r="M41" s="730">
        <f t="shared" si="77"/>
        <v>355964.89500000002</v>
      </c>
      <c r="N41" s="730">
        <f t="shared" si="77"/>
        <v>0</v>
      </c>
      <c r="O41" s="730">
        <f t="shared" si="77"/>
        <v>349000</v>
      </c>
      <c r="P41" s="730">
        <f t="shared" si="77"/>
        <v>6964.8950000000004</v>
      </c>
      <c r="Q41" s="730">
        <f t="shared" si="77"/>
        <v>0</v>
      </c>
      <c r="R41" s="730">
        <f t="shared" si="77"/>
        <v>349000</v>
      </c>
      <c r="S41" s="730">
        <f t="shared" si="77"/>
        <v>0</v>
      </c>
      <c r="T41" s="730">
        <f t="shared" si="77"/>
        <v>0</v>
      </c>
      <c r="U41" s="730">
        <f t="shared" si="77"/>
        <v>0</v>
      </c>
      <c r="V41" s="730">
        <f t="shared" si="77"/>
        <v>349000</v>
      </c>
      <c r="W41" s="730">
        <f t="shared" si="77"/>
        <v>0</v>
      </c>
      <c r="X41" s="730">
        <f t="shared" si="77"/>
        <v>0</v>
      </c>
      <c r="Y41" s="730">
        <f t="shared" si="77"/>
        <v>0</v>
      </c>
      <c r="Z41" s="730">
        <f t="shared" si="77"/>
        <v>0</v>
      </c>
      <c r="AA41" s="730">
        <f t="shared" si="77"/>
        <v>54000</v>
      </c>
      <c r="AB41" s="730">
        <f t="shared" si="77"/>
        <v>54000</v>
      </c>
      <c r="AC41" s="730">
        <f t="shared" si="77"/>
        <v>0</v>
      </c>
      <c r="AD41" s="730">
        <f t="shared" si="77"/>
        <v>0</v>
      </c>
      <c r="AE41" s="730">
        <f t="shared" si="77"/>
        <v>0</v>
      </c>
      <c r="AF41" s="730" t="str">
        <f t="shared" si="77"/>
        <v>DVCI</v>
      </c>
      <c r="AG41" s="730">
        <f t="shared" si="77"/>
        <v>0</v>
      </c>
      <c r="AH41" s="730" t="str">
        <f t="shared" si="77"/>
        <v>KT</v>
      </c>
      <c r="AI41" s="730">
        <f t="shared" si="77"/>
        <v>0</v>
      </c>
      <c r="AJ41" s="730">
        <f t="shared" si="77"/>
        <v>0</v>
      </c>
      <c r="AK41" s="730">
        <f t="shared" si="77"/>
        <v>0</v>
      </c>
      <c r="AL41" s="730">
        <f t="shared" si="77"/>
        <v>0</v>
      </c>
      <c r="AM41" s="730">
        <f t="shared" si="77"/>
        <v>0</v>
      </c>
      <c r="AN41" s="730">
        <f t="shared" si="77"/>
        <v>0</v>
      </c>
      <c r="AO41" s="730">
        <f t="shared" si="77"/>
        <v>0</v>
      </c>
      <c r="AP41" s="730">
        <f t="shared" si="77"/>
        <v>0</v>
      </c>
      <c r="AQ41" s="730">
        <f t="shared" si="77"/>
        <v>0</v>
      </c>
      <c r="AR41" s="730">
        <f t="shared" si="77"/>
        <v>0</v>
      </c>
      <c r="AS41" s="730">
        <f t="shared" si="77"/>
        <v>0</v>
      </c>
      <c r="AT41" s="730">
        <f t="shared" si="77"/>
        <v>0</v>
      </c>
      <c r="AU41" s="730">
        <f t="shared" si="77"/>
        <v>0</v>
      </c>
      <c r="AV41" s="730">
        <f t="shared" si="77"/>
        <v>0</v>
      </c>
      <c r="AW41" s="730">
        <f t="shared" si="77"/>
        <v>0</v>
      </c>
      <c r="AX41" s="730">
        <f t="shared" si="77"/>
        <v>0</v>
      </c>
      <c r="AY41" s="730">
        <f t="shared" si="77"/>
        <v>0</v>
      </c>
      <c r="AZ41" s="730">
        <f t="shared" si="77"/>
        <v>0</v>
      </c>
      <c r="BA41" s="730">
        <f t="shared" si="77"/>
        <v>0</v>
      </c>
      <c r="BB41" s="730">
        <f t="shared" si="77"/>
        <v>0</v>
      </c>
      <c r="BC41" s="730">
        <f t="shared" si="77"/>
        <v>0</v>
      </c>
      <c r="BD41" s="730">
        <f t="shared" si="77"/>
        <v>0</v>
      </c>
      <c r="BE41" s="730">
        <f t="shared" si="77"/>
        <v>0</v>
      </c>
      <c r="BF41" s="751"/>
      <c r="BG41" s="749"/>
      <c r="BH41" s="749"/>
      <c r="BI41" s="749"/>
      <c r="BJ41" s="752"/>
    </row>
    <row r="42" spans="1:62" s="105" customFormat="1" ht="36" customHeight="1" x14ac:dyDescent="0.2">
      <c r="A42" s="754"/>
      <c r="B42" s="755" t="s">
        <v>449</v>
      </c>
      <c r="C42" s="756"/>
      <c r="D42" s="756"/>
      <c r="E42" s="756"/>
      <c r="F42" s="756"/>
      <c r="G42" s="722">
        <f>SUM(H42:L42)</f>
        <v>369000</v>
      </c>
      <c r="H42" s="770"/>
      <c r="I42" s="722">
        <v>349000</v>
      </c>
      <c r="J42" s="770">
        <v>20000</v>
      </c>
      <c r="K42" s="770"/>
      <c r="L42" s="770"/>
      <c r="M42" s="722">
        <f>SUM(N42:Q42)</f>
        <v>355964.89500000002</v>
      </c>
      <c r="N42" s="722"/>
      <c r="O42" s="722">
        <v>349000</v>
      </c>
      <c r="P42" s="722">
        <v>6964.8950000000004</v>
      </c>
      <c r="Q42" s="722"/>
      <c r="R42" s="722">
        <f>SUM(S42:V42)</f>
        <v>349000</v>
      </c>
      <c r="S42" s="722"/>
      <c r="T42" s="722"/>
      <c r="U42" s="722"/>
      <c r="V42" s="722">
        <v>349000</v>
      </c>
      <c r="W42" s="722">
        <f>SUM(X42:Z42)</f>
        <v>0</v>
      </c>
      <c r="X42" s="722"/>
      <c r="Y42" s="722"/>
      <c r="Z42" s="722"/>
      <c r="AA42" s="722">
        <f>SUM(AB42:AD42)</f>
        <v>54000</v>
      </c>
      <c r="AB42" s="722">
        <v>54000</v>
      </c>
      <c r="AC42" s="722"/>
      <c r="AD42" s="722"/>
      <c r="AE42" s="722"/>
      <c r="AF42" s="722" t="s">
        <v>395</v>
      </c>
      <c r="AG42" s="722"/>
      <c r="AH42" s="722" t="s">
        <v>371</v>
      </c>
      <c r="AI42" s="722"/>
      <c r="AJ42" s="722"/>
      <c r="AK42" s="722"/>
      <c r="AL42" s="722"/>
      <c r="AM42" s="722"/>
      <c r="AN42" s="722"/>
      <c r="AO42" s="722"/>
      <c r="AP42" s="722"/>
      <c r="AQ42" s="722"/>
      <c r="AR42" s="722"/>
      <c r="AS42" s="722"/>
      <c r="AT42" s="722"/>
      <c r="AU42" s="722"/>
      <c r="AV42" s="722"/>
      <c r="AW42" s="722"/>
      <c r="AX42" s="722"/>
      <c r="AY42" s="722"/>
      <c r="AZ42" s="722"/>
      <c r="BA42" s="722"/>
      <c r="BB42" s="722"/>
      <c r="BC42" s="722"/>
      <c r="BD42" s="722"/>
      <c r="BE42" s="722"/>
      <c r="BF42" s="722"/>
      <c r="BG42" s="757"/>
      <c r="BH42" s="757"/>
      <c r="BI42" s="757"/>
      <c r="BJ42" s="758"/>
    </row>
    <row r="43" spans="1:62" s="705" customFormat="1" ht="27" customHeight="1" x14ac:dyDescent="0.2">
      <c r="A43" s="747" t="s">
        <v>12</v>
      </c>
      <c r="B43" s="748" t="s">
        <v>450</v>
      </c>
      <c r="C43" s="748"/>
      <c r="D43" s="748"/>
      <c r="E43" s="748"/>
      <c r="F43" s="748"/>
      <c r="G43" s="730">
        <f>G44</f>
        <v>369000</v>
      </c>
      <c r="H43" s="730">
        <f t="shared" ref="H43:AD43" si="78">H44</f>
        <v>0</v>
      </c>
      <c r="I43" s="730">
        <f t="shared" si="78"/>
        <v>349000</v>
      </c>
      <c r="J43" s="730">
        <f t="shared" si="78"/>
        <v>20000</v>
      </c>
      <c r="K43" s="730">
        <f t="shared" si="78"/>
        <v>0</v>
      </c>
      <c r="L43" s="730">
        <f t="shared" si="78"/>
        <v>0</v>
      </c>
      <c r="M43" s="730">
        <f t="shared" si="78"/>
        <v>355964.89500000002</v>
      </c>
      <c r="N43" s="730">
        <f t="shared" si="78"/>
        <v>0</v>
      </c>
      <c r="O43" s="730">
        <f t="shared" si="78"/>
        <v>349000</v>
      </c>
      <c r="P43" s="730">
        <f t="shared" si="78"/>
        <v>6964.8950000000004</v>
      </c>
      <c r="Q43" s="730">
        <f t="shared" si="78"/>
        <v>0</v>
      </c>
      <c r="R43" s="730">
        <f t="shared" si="78"/>
        <v>20000</v>
      </c>
      <c r="S43" s="730">
        <f t="shared" si="78"/>
        <v>0</v>
      </c>
      <c r="T43" s="730">
        <f t="shared" si="78"/>
        <v>0</v>
      </c>
      <c r="U43" s="730">
        <f t="shared" si="78"/>
        <v>0</v>
      </c>
      <c r="V43" s="730">
        <f t="shared" si="78"/>
        <v>20000</v>
      </c>
      <c r="W43" s="730">
        <f t="shared" si="78"/>
        <v>0</v>
      </c>
      <c r="X43" s="730">
        <f t="shared" si="78"/>
        <v>0</v>
      </c>
      <c r="Y43" s="730">
        <f t="shared" si="78"/>
        <v>0</v>
      </c>
      <c r="Z43" s="730">
        <f t="shared" si="78"/>
        <v>0</v>
      </c>
      <c r="AA43" s="730">
        <f>AA44</f>
        <v>6964.8950000000004</v>
      </c>
      <c r="AB43" s="730">
        <f t="shared" si="78"/>
        <v>0</v>
      </c>
      <c r="AC43" s="730">
        <f t="shared" si="78"/>
        <v>6964.8950000000004</v>
      </c>
      <c r="AD43" s="730">
        <f t="shared" si="78"/>
        <v>0</v>
      </c>
      <c r="AE43" s="702"/>
      <c r="AF43" s="702"/>
      <c r="AG43" s="703"/>
      <c r="AH43" s="703"/>
      <c r="AI43" s="703"/>
      <c r="AJ43" s="702"/>
      <c r="AK43" s="702"/>
      <c r="AL43" s="702"/>
      <c r="AM43" s="702"/>
      <c r="AN43" s="702"/>
      <c r="AO43" s="702"/>
      <c r="AP43" s="702"/>
      <c r="AQ43" s="702"/>
      <c r="AR43" s="702"/>
      <c r="AS43" s="702"/>
      <c r="AT43" s="702"/>
      <c r="AU43" s="702"/>
      <c r="AV43" s="702"/>
      <c r="AW43" s="702"/>
      <c r="AX43" s="702"/>
      <c r="AY43" s="702"/>
      <c r="AZ43" s="702"/>
      <c r="BA43" s="702"/>
      <c r="BB43" s="702"/>
      <c r="BC43" s="702"/>
      <c r="BD43" s="702"/>
      <c r="BE43" s="702"/>
      <c r="BF43" s="751"/>
      <c r="BG43" s="749"/>
      <c r="BH43" s="749"/>
      <c r="BI43" s="749"/>
      <c r="BJ43" s="752"/>
    </row>
    <row r="44" spans="1:62" s="105" customFormat="1" ht="39" customHeight="1" x14ac:dyDescent="0.2">
      <c r="A44" s="754"/>
      <c r="B44" s="755" t="s">
        <v>449</v>
      </c>
      <c r="C44" s="756"/>
      <c r="D44" s="756"/>
      <c r="E44" s="756"/>
      <c r="F44" s="756"/>
      <c r="G44" s="722">
        <f>SUM(H44:L44)</f>
        <v>369000</v>
      </c>
      <c r="H44" s="770"/>
      <c r="I44" s="722">
        <v>349000</v>
      </c>
      <c r="J44" s="770">
        <v>20000</v>
      </c>
      <c r="K44" s="770"/>
      <c r="L44" s="770"/>
      <c r="M44" s="722">
        <f>SUM(N44:Q44)</f>
        <v>355964.89500000002</v>
      </c>
      <c r="N44" s="722"/>
      <c r="O44" s="722">
        <v>349000</v>
      </c>
      <c r="P44" s="722">
        <v>6964.8950000000004</v>
      </c>
      <c r="Q44" s="722"/>
      <c r="R44" s="722">
        <f>SUM(S44:V44)</f>
        <v>20000</v>
      </c>
      <c r="S44" s="722"/>
      <c r="T44" s="722"/>
      <c r="U44" s="722"/>
      <c r="V44" s="722">
        <v>20000</v>
      </c>
      <c r="W44" s="722">
        <f>SUM(X44:Z44)</f>
        <v>0</v>
      </c>
      <c r="X44" s="722"/>
      <c r="Y44" s="722"/>
      <c r="Z44" s="722"/>
      <c r="AA44" s="722">
        <f>SUM(AB44:AD44)</f>
        <v>6964.8950000000004</v>
      </c>
      <c r="AB44" s="722"/>
      <c r="AC44" s="722">
        <v>6964.8950000000004</v>
      </c>
      <c r="AD44" s="722"/>
      <c r="AE44" s="722"/>
      <c r="AF44" s="722" t="s">
        <v>395</v>
      </c>
      <c r="AG44" s="722"/>
      <c r="AH44" s="722" t="s">
        <v>371</v>
      </c>
      <c r="AI44" s="722"/>
      <c r="AJ44" s="722"/>
      <c r="AK44" s="722"/>
      <c r="AL44" s="722"/>
      <c r="AM44" s="722"/>
      <c r="AN44" s="722"/>
      <c r="AO44" s="722"/>
      <c r="AP44" s="722"/>
      <c r="AQ44" s="722"/>
      <c r="AR44" s="722"/>
      <c r="AS44" s="722"/>
      <c r="AT44" s="722"/>
      <c r="AU44" s="722"/>
      <c r="AV44" s="722"/>
      <c r="AW44" s="722"/>
      <c r="AX44" s="722"/>
      <c r="AY44" s="722"/>
      <c r="AZ44" s="722"/>
      <c r="BA44" s="722"/>
      <c r="BB44" s="722"/>
      <c r="BC44" s="722"/>
      <c r="BD44" s="722"/>
      <c r="BE44" s="722"/>
      <c r="BF44" s="722"/>
      <c r="BG44" s="757"/>
      <c r="BH44" s="757"/>
      <c r="BI44" s="757"/>
      <c r="BJ44" s="758"/>
    </row>
    <row r="45" spans="1:62" s="741" customFormat="1" ht="23.25" customHeight="1" x14ac:dyDescent="0.25">
      <c r="A45" s="627" t="s">
        <v>64</v>
      </c>
      <c r="B45" s="736" t="s">
        <v>451</v>
      </c>
      <c r="C45" s="736"/>
      <c r="D45" s="736"/>
      <c r="E45" s="736"/>
      <c r="F45" s="736"/>
      <c r="G45" s="746">
        <f>G46</f>
        <v>1482000</v>
      </c>
      <c r="H45" s="746">
        <f t="shared" ref="H45:AD45" si="79">H46</f>
        <v>0</v>
      </c>
      <c r="I45" s="746">
        <f t="shared" si="79"/>
        <v>0</v>
      </c>
      <c r="J45" s="746">
        <f t="shared" si="79"/>
        <v>0</v>
      </c>
      <c r="K45" s="746">
        <f t="shared" si="79"/>
        <v>1482000</v>
      </c>
      <c r="L45" s="746">
        <f t="shared" si="79"/>
        <v>0</v>
      </c>
      <c r="M45" s="746">
        <f t="shared" si="79"/>
        <v>1482000</v>
      </c>
      <c r="N45" s="746">
        <f t="shared" si="79"/>
        <v>0</v>
      </c>
      <c r="O45" s="746">
        <f t="shared" si="79"/>
        <v>0</v>
      </c>
      <c r="P45" s="746">
        <f t="shared" si="79"/>
        <v>0</v>
      </c>
      <c r="Q45" s="746">
        <f t="shared" si="79"/>
        <v>1482000</v>
      </c>
      <c r="R45" s="746">
        <f t="shared" si="79"/>
        <v>1482000</v>
      </c>
      <c r="S45" s="746">
        <f t="shared" si="79"/>
        <v>0</v>
      </c>
      <c r="T45" s="746">
        <f t="shared" si="79"/>
        <v>0</v>
      </c>
      <c r="U45" s="746">
        <f t="shared" si="79"/>
        <v>0</v>
      </c>
      <c r="V45" s="746">
        <f t="shared" si="79"/>
        <v>1482000</v>
      </c>
      <c r="W45" s="746">
        <f t="shared" si="79"/>
        <v>0</v>
      </c>
      <c r="X45" s="746">
        <f t="shared" si="79"/>
        <v>0</v>
      </c>
      <c r="Y45" s="746">
        <f t="shared" si="79"/>
        <v>0</v>
      </c>
      <c r="Z45" s="746">
        <f t="shared" si="79"/>
        <v>0</v>
      </c>
      <c r="AA45" s="746">
        <f t="shared" si="79"/>
        <v>1482000</v>
      </c>
      <c r="AB45" s="746">
        <f t="shared" si="79"/>
        <v>0</v>
      </c>
      <c r="AC45" s="746">
        <f t="shared" si="79"/>
        <v>0</v>
      </c>
      <c r="AD45" s="746">
        <f t="shared" si="79"/>
        <v>1482000</v>
      </c>
      <c r="AE45" s="737"/>
      <c r="AF45" s="737"/>
      <c r="AG45" s="738"/>
      <c r="AH45" s="738"/>
      <c r="AI45" s="738"/>
      <c r="AJ45" s="737"/>
      <c r="AK45" s="737"/>
      <c r="AL45" s="737"/>
      <c r="AM45" s="737"/>
      <c r="AN45" s="737"/>
      <c r="AO45" s="737"/>
      <c r="AP45" s="737"/>
      <c r="AQ45" s="737"/>
      <c r="AR45" s="737"/>
      <c r="AS45" s="737"/>
      <c r="AT45" s="737"/>
      <c r="AU45" s="737"/>
      <c r="AV45" s="737"/>
      <c r="AW45" s="737"/>
      <c r="AX45" s="737"/>
      <c r="AY45" s="737"/>
      <c r="AZ45" s="737"/>
      <c r="BA45" s="737"/>
      <c r="BB45" s="737"/>
      <c r="BC45" s="737"/>
      <c r="BD45" s="737"/>
      <c r="BE45" s="737"/>
      <c r="BF45" s="720"/>
      <c r="BG45" s="720"/>
      <c r="BH45" s="720"/>
      <c r="BI45" s="720"/>
      <c r="BJ45" s="720"/>
    </row>
    <row r="46" spans="1:62" s="701" customFormat="1" ht="71.25" customHeight="1" x14ac:dyDescent="0.2">
      <c r="A46" s="729">
        <v>1</v>
      </c>
      <c r="B46" s="759" t="s">
        <v>452</v>
      </c>
      <c r="C46" s="380"/>
      <c r="D46" s="380"/>
      <c r="E46" s="729"/>
      <c r="F46" s="735"/>
      <c r="G46" s="722">
        <f>SUM(H46:L46)</f>
        <v>1482000</v>
      </c>
      <c r="H46" s="765"/>
      <c r="I46" s="765"/>
      <c r="J46" s="765"/>
      <c r="K46" s="766">
        <v>1482000</v>
      </c>
      <c r="L46" s="768"/>
      <c r="M46" s="722">
        <f>SUM(N46:Q46)</f>
        <v>1482000</v>
      </c>
      <c r="N46" s="768"/>
      <c r="O46" s="768"/>
      <c r="P46" s="768"/>
      <c r="Q46" s="768">
        <v>1482000</v>
      </c>
      <c r="R46" s="722">
        <f>SUM(S46:V46)</f>
        <v>1482000</v>
      </c>
      <c r="S46" s="768"/>
      <c r="T46" s="768"/>
      <c r="U46" s="768"/>
      <c r="V46" s="768">
        <v>1482000</v>
      </c>
      <c r="W46" s="722">
        <f>SUM(X46:Z46)</f>
        <v>0</v>
      </c>
      <c r="X46" s="768"/>
      <c r="Y46" s="768"/>
      <c r="Z46" s="768"/>
      <c r="AA46" s="722">
        <f>SUM(AB46:AK46)</f>
        <v>1482000</v>
      </c>
      <c r="AB46" s="768"/>
      <c r="AC46" s="768"/>
      <c r="AD46" s="768">
        <v>1482000</v>
      </c>
      <c r="AE46" s="702"/>
      <c r="AF46" s="733" t="s">
        <v>381</v>
      </c>
      <c r="AG46" s="731"/>
      <c r="AH46" s="731" t="s">
        <v>371</v>
      </c>
      <c r="AI46" s="731"/>
      <c r="AJ46" s="702"/>
      <c r="AK46" s="702"/>
      <c r="AL46" s="702"/>
      <c r="AM46" s="702"/>
      <c r="AN46" s="702"/>
      <c r="AO46" s="702"/>
      <c r="AP46" s="702"/>
      <c r="AQ46" s="702"/>
      <c r="AR46" s="702"/>
      <c r="AS46" s="702"/>
      <c r="AT46" s="702"/>
      <c r="AU46" s="702"/>
      <c r="AV46" s="702"/>
      <c r="AW46" s="702"/>
      <c r="AX46" s="702"/>
      <c r="AY46" s="702"/>
      <c r="AZ46" s="702"/>
      <c r="BA46" s="702"/>
      <c r="BB46" s="702"/>
      <c r="BC46" s="702"/>
      <c r="BD46" s="702"/>
      <c r="BE46" s="702"/>
      <c r="BF46" s="726"/>
      <c r="BG46" s="726"/>
      <c r="BH46" s="726"/>
      <c r="BI46" s="726"/>
      <c r="BJ46" s="726"/>
    </row>
    <row r="47" spans="1:62" x14ac:dyDescent="0.25">
      <c r="A47" s="436"/>
      <c r="B47" s="435"/>
      <c r="C47" s="435"/>
      <c r="D47" s="435"/>
      <c r="E47" s="435"/>
      <c r="F47" s="435"/>
      <c r="G47" s="588"/>
      <c r="H47" s="589"/>
      <c r="I47" s="589"/>
      <c r="J47" s="589"/>
      <c r="K47" s="590"/>
      <c r="L47" s="589"/>
      <c r="M47" s="588"/>
      <c r="N47" s="589"/>
      <c r="O47" s="589"/>
      <c r="P47" s="589"/>
      <c r="Q47" s="590"/>
      <c r="R47" s="588"/>
      <c r="S47" s="589"/>
      <c r="T47" s="589"/>
      <c r="U47" s="589"/>
      <c r="V47" s="590"/>
      <c r="W47" s="588"/>
      <c r="X47" s="589"/>
      <c r="Y47" s="589"/>
      <c r="Z47" s="590"/>
      <c r="AA47" s="588"/>
      <c r="AB47" s="589"/>
      <c r="AC47" s="589"/>
      <c r="AD47" s="590"/>
      <c r="AF47" s="593"/>
      <c r="AG47" s="594"/>
      <c r="AH47" s="594"/>
      <c r="AI47" s="594"/>
      <c r="BF47" s="588"/>
      <c r="BG47" s="589"/>
      <c r="BH47" s="589"/>
      <c r="BI47" s="589"/>
      <c r="BJ47" s="590"/>
    </row>
    <row r="48" spans="1:62" x14ac:dyDescent="0.25">
      <c r="A48" s="436"/>
      <c r="B48" s="435"/>
      <c r="C48" s="435"/>
      <c r="D48" s="435"/>
      <c r="E48" s="435"/>
      <c r="F48" s="435"/>
      <c r="G48" s="588"/>
      <c r="H48" s="589"/>
      <c r="I48" s="589"/>
      <c r="J48" s="589"/>
      <c r="K48" s="590"/>
      <c r="L48" s="589"/>
      <c r="M48" s="588"/>
      <c r="N48" s="589"/>
      <c r="O48" s="589"/>
      <c r="P48" s="589"/>
      <c r="Q48" s="590"/>
      <c r="R48" s="588"/>
      <c r="S48" s="589"/>
      <c r="T48" s="589"/>
      <c r="U48" s="589"/>
      <c r="V48" s="590"/>
      <c r="W48" s="588"/>
      <c r="X48" s="589"/>
      <c r="Y48" s="589"/>
      <c r="Z48" s="590"/>
      <c r="AA48" s="588"/>
      <c r="AB48" s="589"/>
      <c r="AC48" s="589"/>
      <c r="AD48" s="590"/>
      <c r="BF48" s="588"/>
      <c r="BG48" s="589"/>
      <c r="BH48" s="589"/>
      <c r="BI48" s="589"/>
      <c r="BJ48" s="590"/>
    </row>
    <row r="49" spans="1:62" x14ac:dyDescent="0.25">
      <c r="A49" s="436"/>
      <c r="B49" s="435"/>
      <c r="C49" s="435"/>
      <c r="D49" s="435"/>
      <c r="E49" s="435"/>
      <c r="F49" s="435"/>
      <c r="G49" s="588"/>
      <c r="H49" s="589"/>
      <c r="I49" s="589"/>
      <c r="J49" s="589"/>
      <c r="K49" s="590"/>
      <c r="L49" s="589"/>
      <c r="M49" s="588"/>
      <c r="N49" s="589"/>
      <c r="O49" s="589"/>
      <c r="P49" s="589"/>
      <c r="Q49" s="590"/>
      <c r="R49" s="588"/>
      <c r="S49" s="589"/>
      <c r="T49" s="589"/>
      <c r="U49" s="589"/>
      <c r="V49" s="590"/>
      <c r="W49" s="588"/>
      <c r="X49" s="589"/>
      <c r="Y49" s="589"/>
      <c r="Z49" s="590"/>
      <c r="AA49" s="588"/>
      <c r="AB49" s="589"/>
      <c r="AC49" s="589"/>
      <c r="AD49" s="590"/>
      <c r="BF49" s="588"/>
      <c r="BG49" s="589"/>
      <c r="BH49" s="589"/>
      <c r="BI49" s="589"/>
      <c r="BJ49" s="590"/>
    </row>
    <row r="50" spans="1:62" x14ac:dyDescent="0.25">
      <c r="A50" s="436"/>
      <c r="B50" s="435"/>
      <c r="C50" s="435"/>
      <c r="D50" s="435"/>
      <c r="E50" s="435"/>
      <c r="F50" s="435"/>
      <c r="G50" s="588"/>
      <c r="H50" s="589"/>
      <c r="I50" s="589"/>
      <c r="J50" s="589"/>
      <c r="K50" s="590"/>
      <c r="L50" s="589"/>
      <c r="M50" s="588"/>
      <c r="N50" s="589"/>
      <c r="O50" s="589"/>
      <c r="P50" s="589"/>
      <c r="Q50" s="590"/>
      <c r="R50" s="588"/>
      <c r="S50" s="589"/>
      <c r="T50" s="589"/>
      <c r="U50" s="589"/>
      <c r="V50" s="590"/>
      <c r="W50" s="588"/>
      <c r="X50" s="589"/>
      <c r="Y50" s="589"/>
      <c r="Z50" s="590"/>
      <c r="AA50" s="588"/>
      <c r="AB50" s="589"/>
      <c r="AC50" s="589"/>
      <c r="AD50" s="590"/>
      <c r="BF50" s="588"/>
      <c r="BG50" s="589"/>
      <c r="BH50" s="589"/>
      <c r="BI50" s="589"/>
      <c r="BJ50" s="590"/>
    </row>
    <row r="51" spans="1:62" x14ac:dyDescent="0.25">
      <c r="A51" s="436"/>
      <c r="B51" s="435"/>
      <c r="C51" s="435"/>
      <c r="D51" s="435"/>
      <c r="E51" s="435"/>
      <c r="F51" s="435"/>
      <c r="G51" s="588"/>
      <c r="H51" s="589"/>
      <c r="I51" s="589"/>
      <c r="J51" s="589"/>
      <c r="K51" s="590"/>
      <c r="L51" s="589"/>
      <c r="M51" s="588"/>
      <c r="N51" s="589"/>
      <c r="O51" s="589"/>
      <c r="P51" s="589"/>
      <c r="Q51" s="590"/>
      <c r="R51" s="588"/>
      <c r="S51" s="589"/>
      <c r="T51" s="589"/>
      <c r="U51" s="589"/>
      <c r="V51" s="590"/>
      <c r="W51" s="588"/>
      <c r="X51" s="589"/>
      <c r="Y51" s="589"/>
      <c r="Z51" s="590"/>
      <c r="AA51" s="588"/>
      <c r="AB51" s="589"/>
      <c r="AC51" s="589"/>
      <c r="AD51" s="590"/>
      <c r="BF51" s="588"/>
      <c r="BG51" s="589"/>
      <c r="BH51" s="589"/>
      <c r="BI51" s="589"/>
      <c r="BJ51" s="590"/>
    </row>
    <row r="52" spans="1:62" x14ac:dyDescent="0.25">
      <c r="A52" s="436"/>
      <c r="B52" s="435"/>
      <c r="C52" s="435"/>
      <c r="D52" s="435"/>
      <c r="E52" s="435"/>
      <c r="F52" s="435"/>
      <c r="G52" s="588"/>
      <c r="H52" s="589"/>
      <c r="I52" s="589"/>
      <c r="J52" s="589"/>
      <c r="K52" s="590"/>
      <c r="L52" s="589"/>
      <c r="M52" s="588"/>
      <c r="N52" s="589"/>
      <c r="O52" s="589"/>
      <c r="P52" s="589"/>
      <c r="Q52" s="590"/>
      <c r="R52" s="588"/>
      <c r="S52" s="589"/>
      <c r="T52" s="589"/>
      <c r="U52" s="589"/>
      <c r="V52" s="590"/>
      <c r="W52" s="588"/>
      <c r="X52" s="589"/>
      <c r="Y52" s="589"/>
      <c r="Z52" s="590"/>
      <c r="AA52" s="588"/>
      <c r="AB52" s="589"/>
      <c r="AC52" s="589"/>
      <c r="AD52" s="590"/>
      <c r="BF52" s="588"/>
      <c r="BG52" s="589"/>
      <c r="BH52" s="589"/>
      <c r="BI52" s="589"/>
      <c r="BJ52" s="590"/>
    </row>
    <row r="53" spans="1:62" x14ac:dyDescent="0.25">
      <c r="A53" s="436"/>
      <c r="B53" s="435"/>
      <c r="C53" s="435"/>
      <c r="D53" s="435"/>
      <c r="E53" s="435"/>
      <c r="F53" s="435"/>
      <c r="G53" s="588"/>
      <c r="H53" s="589"/>
      <c r="I53" s="589"/>
      <c r="J53" s="589"/>
      <c r="K53" s="590"/>
      <c r="L53" s="589"/>
      <c r="M53" s="588"/>
      <c r="N53" s="589"/>
      <c r="O53" s="589"/>
      <c r="P53" s="589"/>
      <c r="Q53" s="590"/>
      <c r="R53" s="588"/>
      <c r="S53" s="589"/>
      <c r="T53" s="589"/>
      <c r="U53" s="589"/>
      <c r="V53" s="590"/>
      <c r="W53" s="588"/>
      <c r="X53" s="589"/>
      <c r="Y53" s="589"/>
      <c r="Z53" s="590"/>
      <c r="AA53" s="588"/>
      <c r="AB53" s="589"/>
      <c r="AC53" s="589"/>
      <c r="AD53" s="590"/>
      <c r="BF53" s="588"/>
      <c r="BG53" s="589"/>
      <c r="BH53" s="589"/>
      <c r="BI53" s="589"/>
      <c r="BJ53" s="590"/>
    </row>
    <row r="54" spans="1:62" x14ac:dyDescent="0.25">
      <c r="A54" s="436"/>
      <c r="B54" s="435"/>
      <c r="C54" s="435"/>
      <c r="D54" s="435"/>
      <c r="E54" s="435"/>
      <c r="F54" s="435"/>
      <c r="G54" s="588"/>
      <c r="H54" s="589"/>
      <c r="I54" s="589"/>
      <c r="J54" s="589"/>
      <c r="K54" s="590"/>
      <c r="L54" s="589"/>
      <c r="M54" s="588"/>
      <c r="N54" s="589"/>
      <c r="O54" s="589"/>
      <c r="P54" s="589"/>
      <c r="Q54" s="590"/>
      <c r="R54" s="588"/>
      <c r="S54" s="589"/>
      <c r="T54" s="589"/>
      <c r="U54" s="589"/>
      <c r="V54" s="590"/>
      <c r="W54" s="588"/>
      <c r="X54" s="589"/>
      <c r="Y54" s="589"/>
      <c r="Z54" s="590"/>
      <c r="AA54" s="588"/>
      <c r="AB54" s="589"/>
      <c r="AC54" s="589"/>
      <c r="AD54" s="590"/>
      <c r="BF54" s="588"/>
      <c r="BG54" s="589"/>
      <c r="BH54" s="589"/>
      <c r="BI54" s="589"/>
      <c r="BJ54" s="590"/>
    </row>
  </sheetData>
  <mergeCells count="44">
    <mergeCell ref="A2:AD2"/>
    <mergeCell ref="A5:A8"/>
    <mergeCell ref="B5:B8"/>
    <mergeCell ref="C5:C8"/>
    <mergeCell ref="D5:D8"/>
    <mergeCell ref="E5:E8"/>
    <mergeCell ref="A3:AD3"/>
    <mergeCell ref="F6:F8"/>
    <mergeCell ref="G7:G8"/>
    <mergeCell ref="F5:L5"/>
    <mergeCell ref="G6:L6"/>
    <mergeCell ref="H7:L7"/>
    <mergeCell ref="R5:V5"/>
    <mergeCell ref="R6:R8"/>
    <mergeCell ref="T6:V6"/>
    <mergeCell ref="T7:T8"/>
    <mergeCell ref="Y7:Y8"/>
    <mergeCell ref="U7:U8"/>
    <mergeCell ref="V7:V8"/>
    <mergeCell ref="Z7:Z8"/>
    <mergeCell ref="AA5:AD5"/>
    <mergeCell ref="AA6:AA8"/>
    <mergeCell ref="AB6:AD6"/>
    <mergeCell ref="AB7:AB8"/>
    <mergeCell ref="AC7:AC8"/>
    <mergeCell ref="AD7:AD8"/>
    <mergeCell ref="W5:Z5"/>
    <mergeCell ref="W6:W8"/>
    <mergeCell ref="BF1:BJ1"/>
    <mergeCell ref="AD4:BJ4"/>
    <mergeCell ref="M5:Q5"/>
    <mergeCell ref="M6:M8"/>
    <mergeCell ref="O6:Q6"/>
    <mergeCell ref="O7:O8"/>
    <mergeCell ref="P7:P8"/>
    <mergeCell ref="Q7:Q8"/>
    <mergeCell ref="BF5:BJ5"/>
    <mergeCell ref="BF6:BF8"/>
    <mergeCell ref="BH6:BJ6"/>
    <mergeCell ref="BH7:BH8"/>
    <mergeCell ref="BI7:BI8"/>
    <mergeCell ref="BJ7:BJ8"/>
    <mergeCell ref="X6:Z6"/>
    <mergeCell ref="X7:X8"/>
  </mergeCells>
  <phoneticPr fontId="93" type="noConversion"/>
  <printOptions horizontalCentered="1"/>
  <pageMargins left="0.24" right="0.21" top="0.42" bottom="0.38" header="0.31496062992126" footer="0.31496062992126"/>
  <pageSetup paperSize="9" scale="55" firstPageNumber="33" orientation="landscape" useFirstPageNumber="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zoomScaleSheetLayoutView="100" zoomScalePageLayoutView="70" workbookViewId="0">
      <selection activeCell="A22" sqref="A22:XFD32"/>
    </sheetView>
  </sheetViews>
  <sheetFormatPr defaultRowHeight="15" x14ac:dyDescent="0.25"/>
  <cols>
    <col min="1" max="1" width="41.5703125" style="92" customWidth="1"/>
    <col min="2" max="2" width="17" style="254" customWidth="1"/>
    <col min="3" max="3" width="11.5703125" style="254" customWidth="1"/>
    <col min="4" max="4" width="17.140625" style="895" customWidth="1"/>
    <col min="5" max="5" width="36.140625" style="92" customWidth="1"/>
    <col min="6" max="6" width="17" style="92" customWidth="1"/>
    <col min="7" max="7" width="10.140625" style="92" customWidth="1"/>
    <col min="8" max="8" width="16.7109375" style="92" customWidth="1"/>
    <col min="9" max="9" width="12.140625" style="92" bestFit="1" customWidth="1"/>
    <col min="10" max="11" width="9.140625" style="92" bestFit="1" customWidth="1"/>
    <col min="12" max="16384" width="9.140625" style="92"/>
  </cols>
  <sheetData>
    <row r="1" spans="1:11" s="817" customFormat="1" ht="15.75" x14ac:dyDescent="0.25">
      <c r="A1" s="156" t="str">
        <f>'48N'!A1</f>
        <v>UBND PHƯỜNG ĐỨC XUÂN</v>
      </c>
      <c r="B1" s="893"/>
      <c r="C1" s="893"/>
      <c r="D1" s="894"/>
      <c r="H1" s="191" t="s">
        <v>919</v>
      </c>
    </row>
    <row r="2" spans="1:11" s="817" customFormat="1" ht="15.75" x14ac:dyDescent="0.25">
      <c r="A2" s="156"/>
      <c r="B2" s="893"/>
      <c r="C2" s="893"/>
      <c r="D2" s="894"/>
      <c r="H2" s="2"/>
    </row>
    <row r="3" spans="1:11" ht="15.75" x14ac:dyDescent="0.25">
      <c r="A3" s="1840" t="s">
        <v>518</v>
      </c>
      <c r="B3" s="1840"/>
      <c r="C3" s="1840"/>
      <c r="D3" s="1840"/>
      <c r="E3" s="1840"/>
      <c r="F3" s="1840"/>
      <c r="G3" s="1840"/>
      <c r="H3" s="1840"/>
    </row>
    <row r="4" spans="1:11" ht="16.5" x14ac:dyDescent="0.25">
      <c r="A4" s="1842" t="str">
        <f>'48N'!A4:F4</f>
        <v>(Kèm theo Tờ trình số    /TTr-KTHT&amp;ĐT ngày      /4/2026 của phòng KTHT&amp;ĐT phường Đức Xuân)</v>
      </c>
      <c r="B4" s="1842"/>
      <c r="C4" s="1842"/>
      <c r="D4" s="1842"/>
      <c r="E4" s="1842"/>
      <c r="F4" s="1842"/>
      <c r="G4" s="1842"/>
      <c r="H4" s="1842"/>
    </row>
    <row r="5" spans="1:11" ht="15" customHeight="1" x14ac:dyDescent="0.25">
      <c r="F5" s="1773" t="s">
        <v>427</v>
      </c>
      <c r="G5" s="1773"/>
      <c r="H5" s="1773"/>
    </row>
    <row r="6" spans="1:11" ht="38.25" customHeight="1" x14ac:dyDescent="0.25">
      <c r="A6" s="858" t="s">
        <v>83</v>
      </c>
      <c r="B6" s="896" t="s">
        <v>15</v>
      </c>
      <c r="C6" s="1560" t="s">
        <v>313</v>
      </c>
      <c r="D6" s="897" t="s">
        <v>84</v>
      </c>
      <c r="E6" s="858" t="s">
        <v>85</v>
      </c>
      <c r="F6" s="858" t="s">
        <v>15</v>
      </c>
      <c r="G6" s="822" t="s">
        <v>1045</v>
      </c>
      <c r="H6" s="858" t="s">
        <v>86</v>
      </c>
    </row>
    <row r="7" spans="1:11" x14ac:dyDescent="0.25">
      <c r="A7" s="898">
        <v>1</v>
      </c>
      <c r="B7" s="898">
        <v>2</v>
      </c>
      <c r="C7" s="1305"/>
      <c r="D7" s="898">
        <v>3</v>
      </c>
      <c r="E7" s="898">
        <v>4</v>
      </c>
      <c r="F7" s="898">
        <v>5</v>
      </c>
      <c r="G7" s="1305"/>
      <c r="H7" s="898">
        <v>6</v>
      </c>
    </row>
    <row r="8" spans="1:11" ht="21" customHeight="1" x14ac:dyDescent="0.25">
      <c r="A8" s="899" t="s">
        <v>298</v>
      </c>
      <c r="B8" s="900">
        <f t="shared" ref="B8:B19" si="0">SUM(D8:D8)</f>
        <v>180392183.704</v>
      </c>
      <c r="C8" s="1561"/>
      <c r="D8" s="1113">
        <f>D9</f>
        <v>180392183.704</v>
      </c>
      <c r="E8" s="899" t="s">
        <v>299</v>
      </c>
      <c r="F8" s="206">
        <f>SUM(H8:H8)</f>
        <v>178645584.73699999</v>
      </c>
      <c r="G8" s="1563"/>
      <c r="H8" s="206">
        <f>H9</f>
        <v>178645584.73699999</v>
      </c>
      <c r="I8" s="158"/>
      <c r="J8" s="158"/>
    </row>
    <row r="9" spans="1:11" ht="24.95" customHeight="1" x14ac:dyDescent="0.25">
      <c r="A9" s="902" t="s">
        <v>300</v>
      </c>
      <c r="B9" s="900">
        <f t="shared" si="0"/>
        <v>180392183.704</v>
      </c>
      <c r="C9" s="1561"/>
      <c r="D9" s="1113">
        <f>SUM(D10:D16,D19)</f>
        <v>180392183.704</v>
      </c>
      <c r="E9" s="1123" t="s">
        <v>301</v>
      </c>
      <c r="F9" s="206">
        <f>SUM(H9:H9)</f>
        <v>178645584.73699999</v>
      </c>
      <c r="G9" s="1563"/>
      <c r="H9" s="206">
        <f>SUM(H10:H19)</f>
        <v>178645584.73699999</v>
      </c>
      <c r="I9" s="158"/>
      <c r="J9" s="158"/>
      <c r="K9" s="158"/>
    </row>
    <row r="10" spans="1:11" ht="19.899999999999999" customHeight="1" x14ac:dyDescent="0.25">
      <c r="A10" s="215" t="s">
        <v>302</v>
      </c>
      <c r="B10" s="272">
        <f t="shared" si="0"/>
        <v>329320.12699999998</v>
      </c>
      <c r="C10" s="272"/>
      <c r="D10" s="409">
        <f>'60'!I31+'60'!I35</f>
        <v>329320.12699999998</v>
      </c>
      <c r="E10" s="220" t="s">
        <v>329</v>
      </c>
      <c r="F10" s="216">
        <f>SUM(H10:H10)</f>
        <v>16392012.588</v>
      </c>
      <c r="G10" s="216"/>
      <c r="H10" s="216">
        <f>'61'!E10</f>
        <v>16392012.588</v>
      </c>
      <c r="I10" s="158"/>
      <c r="J10" s="158"/>
      <c r="K10" s="158"/>
    </row>
    <row r="11" spans="1:11" ht="33" customHeight="1" x14ac:dyDescent="0.25">
      <c r="A11" s="217" t="s">
        <v>920</v>
      </c>
      <c r="B11" s="273">
        <f t="shared" si="0"/>
        <v>0</v>
      </c>
      <c r="C11" s="273"/>
      <c r="D11" s="410">
        <f>'60'!I10-D10</f>
        <v>0</v>
      </c>
      <c r="E11" s="221" t="s">
        <v>303</v>
      </c>
      <c r="F11" s="196"/>
      <c r="G11" s="196"/>
      <c r="H11" s="196"/>
      <c r="I11" s="158"/>
      <c r="J11" s="158"/>
    </row>
    <row r="12" spans="1:11" ht="20.100000000000001" customHeight="1" x14ac:dyDescent="0.25">
      <c r="A12" s="217" t="s">
        <v>921</v>
      </c>
      <c r="B12" s="273">
        <f t="shared" ref="B12" si="1">SUM(D12:D12)</f>
        <v>0</v>
      </c>
      <c r="C12" s="273"/>
      <c r="D12" s="410"/>
      <c r="E12" s="221" t="s">
        <v>304</v>
      </c>
      <c r="F12" s="196">
        <f>SUM(H12:H12)</f>
        <v>137912348.914</v>
      </c>
      <c r="G12" s="196"/>
      <c r="H12" s="196">
        <f>'61'!E36</f>
        <v>137912348.914</v>
      </c>
      <c r="I12" s="903"/>
    </row>
    <row r="13" spans="1:11" ht="19.5" customHeight="1" x14ac:dyDescent="0.25">
      <c r="A13" s="217" t="s">
        <v>922</v>
      </c>
      <c r="B13" s="273">
        <f t="shared" si="0"/>
        <v>104011.51</v>
      </c>
      <c r="C13" s="273"/>
      <c r="D13" s="410">
        <f>'60'!I45</f>
        <v>104011.51</v>
      </c>
      <c r="E13" s="221" t="s">
        <v>927</v>
      </c>
      <c r="F13" s="196"/>
      <c r="G13" s="196"/>
      <c r="H13" s="196"/>
      <c r="I13" s="903"/>
    </row>
    <row r="14" spans="1:11" ht="34.5" customHeight="1" x14ac:dyDescent="0.25">
      <c r="A14" s="217" t="s">
        <v>923</v>
      </c>
      <c r="B14" s="273">
        <f t="shared" si="0"/>
        <v>3850888.9619999998</v>
      </c>
      <c r="C14" s="273"/>
      <c r="D14" s="410">
        <f>'60'!I44</f>
        <v>3850888.9619999998</v>
      </c>
      <c r="E14" s="221" t="s">
        <v>928</v>
      </c>
      <c r="F14" s="196"/>
      <c r="G14" s="196"/>
      <c r="H14" s="196"/>
    </row>
    <row r="15" spans="1:11" ht="22.5" customHeight="1" x14ac:dyDescent="0.25">
      <c r="A15" s="217" t="s">
        <v>924</v>
      </c>
      <c r="B15" s="273">
        <f t="shared" ref="B15" si="2">SUM(D15:D15)</f>
        <v>0</v>
      </c>
      <c r="C15" s="273"/>
      <c r="D15" s="410"/>
      <c r="E15" s="221" t="s">
        <v>929</v>
      </c>
      <c r="F15" s="196"/>
      <c r="G15" s="196"/>
      <c r="H15" s="196"/>
    </row>
    <row r="16" spans="1:11" ht="32.25" customHeight="1" x14ac:dyDescent="0.25">
      <c r="A16" s="217" t="s">
        <v>925</v>
      </c>
      <c r="B16" s="273">
        <f t="shared" si="0"/>
        <v>176107963.10499999</v>
      </c>
      <c r="C16" s="273"/>
      <c r="D16" s="410">
        <f>SUM(D17:D18)</f>
        <v>176107963.10499999</v>
      </c>
      <c r="E16" s="221" t="s">
        <v>930</v>
      </c>
      <c r="F16" s="196"/>
      <c r="G16" s="196"/>
      <c r="H16" s="196"/>
      <c r="I16" s="158"/>
    </row>
    <row r="17" spans="1:9" ht="23.25" customHeight="1" x14ac:dyDescent="0.25">
      <c r="A17" s="217" t="s">
        <v>87</v>
      </c>
      <c r="B17" s="273">
        <f t="shared" si="0"/>
        <v>129620000</v>
      </c>
      <c r="C17" s="273"/>
      <c r="D17" s="410">
        <f>'60'!I39</f>
        <v>129620000</v>
      </c>
      <c r="E17" s="221" t="s">
        <v>931</v>
      </c>
      <c r="F17" s="1284">
        <f>SUM(H17:H17)</f>
        <v>24187211.725000001</v>
      </c>
      <c r="G17" s="1284"/>
      <c r="H17" s="196">
        <f>'61'!G53</f>
        <v>24187211.725000001</v>
      </c>
    </row>
    <row r="18" spans="1:9" ht="19.5" customHeight="1" x14ac:dyDescent="0.25">
      <c r="A18" s="217" t="s">
        <v>345</v>
      </c>
      <c r="B18" s="273">
        <f t="shared" si="0"/>
        <v>46487963.104999997</v>
      </c>
      <c r="C18" s="273"/>
      <c r="D18" s="410">
        <f>'60'!I41</f>
        <v>46487963.104999997</v>
      </c>
      <c r="E18" s="221" t="s">
        <v>932</v>
      </c>
      <c r="F18" s="196">
        <f>SUM(H18:H18)</f>
        <v>104011.51</v>
      </c>
      <c r="G18" s="196"/>
      <c r="H18" s="196">
        <f>'61'!G60</f>
        <v>104011.51</v>
      </c>
    </row>
    <row r="19" spans="1:9" ht="54.75" customHeight="1" x14ac:dyDescent="0.25">
      <c r="A19" s="218"/>
      <c r="B19" s="274">
        <f t="shared" si="0"/>
        <v>0</v>
      </c>
      <c r="C19" s="274"/>
      <c r="D19" s="411"/>
      <c r="E19" s="222" t="s">
        <v>933</v>
      </c>
      <c r="F19" s="196">
        <f>SUM(H19:H19)</f>
        <v>50000</v>
      </c>
      <c r="G19" s="219"/>
      <c r="H19" s="219">
        <f>'61'!E54</f>
        <v>50000</v>
      </c>
    </row>
    <row r="20" spans="1:9" s="156" customFormat="1" ht="21.75" customHeight="1" x14ac:dyDescent="0.2">
      <c r="A20" s="1841" t="s">
        <v>926</v>
      </c>
      <c r="B20" s="1841"/>
      <c r="C20" s="1562"/>
      <c r="D20" s="901"/>
      <c r="E20" s="902"/>
      <c r="F20" s="904">
        <f>SUM(H20:H20)</f>
        <v>1746598.9670000076</v>
      </c>
      <c r="G20" s="1564"/>
      <c r="H20" s="904">
        <f>D8-H8</f>
        <v>1746598.9670000076</v>
      </c>
      <c r="I20" s="157"/>
    </row>
    <row r="21" spans="1:9" ht="23.25" customHeight="1" x14ac:dyDescent="0.25">
      <c r="A21" s="12"/>
      <c r="E21" s="1108"/>
      <c r="F21" s="1108"/>
      <c r="G21" s="1108"/>
      <c r="H21" s="1108"/>
    </row>
    <row r="22" spans="1:9" ht="15.75" hidden="1" customHeight="1" x14ac:dyDescent="0.25">
      <c r="A22" s="1122" t="s">
        <v>548</v>
      </c>
      <c r="B22" s="905"/>
      <c r="C22" s="905"/>
      <c r="D22" s="906"/>
      <c r="E22" s="1772" t="s">
        <v>934</v>
      </c>
      <c r="F22" s="1772"/>
      <c r="G22" s="1772"/>
      <c r="H22" s="1772"/>
    </row>
    <row r="23" spans="1:9" ht="15.75" hidden="1" customHeight="1" x14ac:dyDescent="0.25">
      <c r="A23" s="1121" t="s">
        <v>462</v>
      </c>
      <c r="B23" s="1757" t="s">
        <v>461</v>
      </c>
      <c r="C23" s="1757"/>
      <c r="D23" s="1757"/>
      <c r="E23" s="1757" t="s">
        <v>549</v>
      </c>
      <c r="F23" s="1757"/>
      <c r="G23" s="1757"/>
      <c r="H23" s="1757"/>
    </row>
    <row r="24" spans="1:9" ht="15.75" hidden="1" x14ac:dyDescent="0.25">
      <c r="A24" s="1122" t="s">
        <v>14</v>
      </c>
      <c r="B24" s="1757" t="s">
        <v>378</v>
      </c>
      <c r="C24" s="1757"/>
      <c r="D24" s="1757"/>
      <c r="E24" s="1757" t="s">
        <v>271</v>
      </c>
      <c r="F24" s="1757"/>
      <c r="G24" s="1757"/>
      <c r="H24" s="1757"/>
    </row>
    <row r="25" spans="1:9" ht="15.75" hidden="1" x14ac:dyDescent="0.25">
      <c r="A25" s="1122"/>
      <c r="B25" s="1122"/>
      <c r="C25" s="1546"/>
      <c r="D25" s="907"/>
      <c r="E25" s="873"/>
      <c r="F25" s="873"/>
      <c r="G25" s="873"/>
    </row>
    <row r="26" spans="1:9" ht="15.75" hidden="1" x14ac:dyDescent="0.25">
      <c r="A26" s="1122"/>
      <c r="B26" s="1122"/>
      <c r="C26" s="1546"/>
      <c r="D26" s="907"/>
      <c r="E26" s="873"/>
      <c r="F26" s="873"/>
      <c r="G26" s="873"/>
    </row>
    <row r="27" spans="1:9" ht="15.75" hidden="1" x14ac:dyDescent="0.25">
      <c r="B27" s="92"/>
      <c r="C27" s="92"/>
      <c r="D27" s="908"/>
      <c r="E27" s="873"/>
      <c r="F27" s="873"/>
      <c r="G27" s="873"/>
    </row>
    <row r="28" spans="1:9" ht="15.75" hidden="1" x14ac:dyDescent="0.25">
      <c r="B28" s="92"/>
      <c r="C28" s="92"/>
      <c r="D28" s="872"/>
      <c r="E28" s="872"/>
      <c r="F28" s="1124"/>
      <c r="G28" s="1553"/>
    </row>
    <row r="29" spans="1:9" ht="15.75" hidden="1" x14ac:dyDescent="0.25">
      <c r="B29" s="92"/>
      <c r="C29" s="92"/>
      <c r="D29" s="908"/>
      <c r="E29" s="873"/>
      <c r="F29" s="873"/>
      <c r="G29" s="873"/>
    </row>
    <row r="30" spans="1:9" ht="15.75" hidden="1" x14ac:dyDescent="0.25">
      <c r="B30" s="92"/>
      <c r="C30" s="92"/>
      <c r="D30" s="908"/>
      <c r="E30" s="873"/>
      <c r="F30" s="873"/>
      <c r="G30" s="873"/>
    </row>
    <row r="31" spans="1:9" ht="16.5" hidden="1" x14ac:dyDescent="0.25">
      <c r="B31" s="1839" t="s">
        <v>460</v>
      </c>
      <c r="C31" s="1839"/>
      <c r="D31" s="1839"/>
      <c r="E31" s="1839" t="s">
        <v>459</v>
      </c>
      <c r="F31" s="1839"/>
      <c r="G31" s="1839"/>
      <c r="H31" s="1839"/>
    </row>
    <row r="32" spans="1:9" hidden="1" x14ac:dyDescent="0.25"/>
  </sheetData>
  <mergeCells count="11">
    <mergeCell ref="E24:H24"/>
    <mergeCell ref="E31:H31"/>
    <mergeCell ref="A3:H3"/>
    <mergeCell ref="A20:B20"/>
    <mergeCell ref="A4:H4"/>
    <mergeCell ref="F5:H5"/>
    <mergeCell ref="E22:H22"/>
    <mergeCell ref="E23:H23"/>
    <mergeCell ref="B23:D23"/>
    <mergeCell ref="B31:D31"/>
    <mergeCell ref="B24:D24"/>
  </mergeCells>
  <printOptions horizontalCentered="1"/>
  <pageMargins left="0.25" right="0.27559055118110198" top="0.41" bottom="0.35433070866141703" header="0.31496062992126" footer="0.31496062992126"/>
  <pageSetup paperSize="9" scale="85" firstPageNumber="40" fitToHeight="0" orientation="landscape" useFirstPageNumber="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115" zoomScaleNormal="115" zoomScaleSheetLayoutView="100" workbookViewId="0">
      <selection activeCell="A47" sqref="A47:XFD60"/>
    </sheetView>
  </sheetViews>
  <sheetFormatPr defaultRowHeight="15" x14ac:dyDescent="0.25"/>
  <cols>
    <col min="1" max="1" width="4.140625" customWidth="1"/>
    <col min="2" max="2" width="42.42578125" customWidth="1"/>
    <col min="3" max="3" width="13.5703125" customWidth="1"/>
    <col min="4" max="4" width="13.28515625" customWidth="1"/>
    <col min="5" max="5" width="14" customWidth="1"/>
    <col min="6" max="6" width="12.7109375" style="126" customWidth="1"/>
    <col min="7" max="7" width="13.28515625" style="126" customWidth="1"/>
    <col min="8" max="8" width="13.5703125" style="126" customWidth="1"/>
    <col min="9" max="9" width="14.7109375" style="126" customWidth="1"/>
    <col min="10" max="10" width="8.7109375" customWidth="1"/>
    <col min="11" max="11" width="9.28515625" customWidth="1"/>
    <col min="12" max="12" width="9.140625" hidden="1" customWidth="1"/>
    <col min="13" max="13" width="12.7109375" bestFit="1" customWidth="1"/>
    <col min="14" max="14" width="14" customWidth="1"/>
    <col min="15" max="15" width="13.7109375" customWidth="1"/>
  </cols>
  <sheetData>
    <row r="1" spans="1:16" s="3" customFormat="1" x14ac:dyDescent="0.25">
      <c r="A1" s="20" t="str">
        <f>'48N'!A1</f>
        <v>UBND PHƯỜNG ĐỨC XUÂN</v>
      </c>
      <c r="F1" s="261"/>
      <c r="G1" s="261"/>
      <c r="H1" s="261"/>
      <c r="I1" s="1856" t="s">
        <v>935</v>
      </c>
      <c r="J1" s="1856"/>
      <c r="K1" s="1856"/>
    </row>
    <row r="2" spans="1:16" ht="15.75" x14ac:dyDescent="0.25">
      <c r="A2" s="1844" t="s">
        <v>455</v>
      </c>
      <c r="B2" s="1844"/>
      <c r="C2" s="1844"/>
      <c r="D2" s="1844"/>
      <c r="E2" s="1844"/>
      <c r="F2" s="1844"/>
      <c r="G2" s="1844"/>
      <c r="H2" s="1844"/>
      <c r="I2" s="1844"/>
      <c r="J2" s="1844"/>
      <c r="K2" s="1844"/>
    </row>
    <row r="3" spans="1:16" ht="15.75" x14ac:dyDescent="0.25">
      <c r="A3" s="1845" t="str">
        <f>'59'!A4:H4</f>
        <v>(Kèm theo Tờ trình số    /TTr-KTHT&amp;ĐT ngày      /4/2026 của phòng KTHT&amp;ĐT phường Đức Xuân)</v>
      </c>
      <c r="B3" s="1845"/>
      <c r="C3" s="1845"/>
      <c r="D3" s="1845"/>
      <c r="E3" s="1845"/>
      <c r="F3" s="1845"/>
      <c r="G3" s="1845"/>
      <c r="H3" s="1845"/>
      <c r="I3" s="1845"/>
      <c r="J3" s="1845"/>
      <c r="K3" s="1845"/>
      <c r="N3" s="327"/>
    </row>
    <row r="4" spans="1:16" ht="15.75" x14ac:dyDescent="0.25">
      <c r="I4" s="1851" t="s">
        <v>427</v>
      </c>
      <c r="J4" s="1851"/>
      <c r="K4" s="1851"/>
    </row>
    <row r="5" spans="1:16" s="9" customFormat="1" ht="27" customHeight="1" x14ac:dyDescent="0.2">
      <c r="A5" s="1764" t="s">
        <v>1</v>
      </c>
      <c r="B5" s="1764" t="s">
        <v>2</v>
      </c>
      <c r="C5" s="1764" t="s">
        <v>88</v>
      </c>
      <c r="D5" s="1764"/>
      <c r="E5" s="1764" t="s">
        <v>89</v>
      </c>
      <c r="F5" s="1847" t="s">
        <v>297</v>
      </c>
      <c r="G5" s="1848"/>
      <c r="H5" s="1849"/>
      <c r="I5" s="1850"/>
      <c r="J5" s="1764" t="s">
        <v>90</v>
      </c>
      <c r="K5" s="1764"/>
      <c r="M5" s="85"/>
    </row>
    <row r="6" spans="1:16" s="9" customFormat="1" ht="27" customHeight="1" x14ac:dyDescent="0.2">
      <c r="A6" s="1846"/>
      <c r="B6" s="1846"/>
      <c r="C6" s="1549"/>
      <c r="D6" s="1549"/>
      <c r="E6" s="1846"/>
      <c r="F6" s="1853" t="s">
        <v>312</v>
      </c>
      <c r="G6" s="1855" t="s">
        <v>936</v>
      </c>
      <c r="H6" s="1855" t="s">
        <v>937</v>
      </c>
      <c r="I6" s="1855"/>
      <c r="J6" s="1549"/>
      <c r="K6" s="1549"/>
      <c r="M6" s="85"/>
    </row>
    <row r="7" spans="1:16" s="9" customFormat="1" ht="39" customHeight="1" x14ac:dyDescent="0.2">
      <c r="A7" s="1764"/>
      <c r="B7" s="1764"/>
      <c r="C7" s="459" t="s">
        <v>91</v>
      </c>
      <c r="D7" s="459" t="s">
        <v>92</v>
      </c>
      <c r="E7" s="1764"/>
      <c r="F7" s="1854"/>
      <c r="G7" s="1855"/>
      <c r="H7" s="229" t="s">
        <v>313</v>
      </c>
      <c r="I7" s="229" t="s">
        <v>84</v>
      </c>
      <c r="J7" s="31" t="s">
        <v>91</v>
      </c>
      <c r="K7" s="31" t="s">
        <v>92</v>
      </c>
      <c r="M7" s="85"/>
    </row>
    <row r="8" spans="1:16" s="9" customFormat="1" ht="16.5" customHeight="1" x14ac:dyDescent="0.2">
      <c r="A8" s="8" t="s">
        <v>4</v>
      </c>
      <c r="B8" s="8" t="s">
        <v>5</v>
      </c>
      <c r="C8" s="610">
        <v>1</v>
      </c>
      <c r="D8" s="610">
        <v>2</v>
      </c>
      <c r="E8" s="8" t="s">
        <v>226</v>
      </c>
      <c r="F8" s="610">
        <v>4</v>
      </c>
      <c r="G8" s="1070" t="s">
        <v>886</v>
      </c>
      <c r="H8" s="610">
        <v>6</v>
      </c>
      <c r="I8" s="610">
        <v>7</v>
      </c>
      <c r="J8" s="8" t="s">
        <v>938</v>
      </c>
      <c r="K8" s="8" t="s">
        <v>939</v>
      </c>
    </row>
    <row r="9" spans="1:16" s="1568" customFormat="1" ht="17.25" customHeight="1" x14ac:dyDescent="0.2">
      <c r="A9" s="1567"/>
      <c r="B9" s="1567" t="s">
        <v>31</v>
      </c>
      <c r="C9" s="1569">
        <f>C10+C37+C44+C45</f>
        <v>158083000</v>
      </c>
      <c r="D9" s="1569">
        <f t="shared" ref="D9:I9" si="0">D10+D37+D44+D45</f>
        <v>158083000</v>
      </c>
      <c r="E9" s="1569">
        <f t="shared" si="0"/>
        <v>244721034.602</v>
      </c>
      <c r="F9" s="1569">
        <f t="shared" si="0"/>
        <v>1460879.5020000001</v>
      </c>
      <c r="G9" s="1569">
        <f t="shared" si="0"/>
        <v>63197291.522999987</v>
      </c>
      <c r="H9" s="1569">
        <f t="shared" si="0"/>
        <v>62867971.395999983</v>
      </c>
      <c r="I9" s="1569">
        <f t="shared" si="0"/>
        <v>180392183.704</v>
      </c>
      <c r="J9" s="1567"/>
      <c r="K9" s="1567"/>
    </row>
    <row r="10" spans="1:16" s="47" customFormat="1" ht="16.899999999999999" customHeight="1" x14ac:dyDescent="0.2">
      <c r="A10" s="74" t="s">
        <v>4</v>
      </c>
      <c r="B10" s="75" t="s">
        <v>93</v>
      </c>
      <c r="C10" s="607">
        <f>SUM(C11,C32,C33,C34,C35,C36)</f>
        <v>158083000</v>
      </c>
      <c r="D10" s="607">
        <f t="shared" ref="D10:I10" si="1">SUM(D11,D32,D33,D34,D35,D36)</f>
        <v>158083000</v>
      </c>
      <c r="E10" s="607">
        <f>SUM(E11,E32,E33,E34,E35,E36)</f>
        <v>64658171.024999991</v>
      </c>
      <c r="F10" s="607">
        <f t="shared" si="1"/>
        <v>1460879.5020000001</v>
      </c>
      <c r="G10" s="607">
        <f t="shared" si="1"/>
        <v>63197291.522999987</v>
      </c>
      <c r="H10" s="607">
        <f t="shared" si="1"/>
        <v>62867971.395999983</v>
      </c>
      <c r="I10" s="607">
        <f t="shared" si="1"/>
        <v>329320.12699999998</v>
      </c>
      <c r="J10" s="599">
        <f>E10/C10%</f>
        <v>40.901406871706627</v>
      </c>
      <c r="K10" s="599">
        <f>E10/D10%</f>
        <v>40.901406871706627</v>
      </c>
      <c r="M10" s="326"/>
      <c r="N10" s="84"/>
      <c r="O10" s="84"/>
    </row>
    <row r="11" spans="1:16" s="47" customFormat="1" ht="16.899999999999999" customHeight="1" x14ac:dyDescent="0.2">
      <c r="A11" s="45" t="s">
        <v>6</v>
      </c>
      <c r="B11" s="46" t="s">
        <v>294</v>
      </c>
      <c r="C11" s="611">
        <f>SUM(C12,C15,C19,C24,C25,C26,C27,C28,C29,C31)</f>
        <v>158083000</v>
      </c>
      <c r="D11" s="611">
        <f>SUM(D12,D15,D19,D24,D25,D26,D27,D28,D29,D31)</f>
        <v>158083000</v>
      </c>
      <c r="E11" s="67">
        <f>SUM(E12,E15,E19,E24,E25,E26,E27,E28,E29,E30,E31)</f>
        <v>63910971.024999991</v>
      </c>
      <c r="F11" s="600">
        <f t="shared" ref="F11:K11" si="2">SUM(F12,F15,F19,F24,F25,F26,F27,F28,F29,F30,F31)</f>
        <v>1460879.5020000001</v>
      </c>
      <c r="G11" s="600">
        <f t="shared" si="2"/>
        <v>62450091.522999987</v>
      </c>
      <c r="H11" s="600">
        <f t="shared" si="2"/>
        <v>62120771.395999983</v>
      </c>
      <c r="I11" s="600">
        <f>SUM(I12,I15,I19,I24,I25,I26,I27,I28,I29,I30,I31)</f>
        <v>329320.12699999998</v>
      </c>
      <c r="J11" s="600">
        <f t="shared" si="2"/>
        <v>764.46690891561627</v>
      </c>
      <c r="K11" s="600">
        <f t="shared" si="2"/>
        <v>764.46690891561627</v>
      </c>
      <c r="M11" s="326"/>
      <c r="N11" s="84"/>
      <c r="P11" s="84"/>
    </row>
    <row r="12" spans="1:16" s="47" customFormat="1" ht="16.899999999999999" customHeight="1" x14ac:dyDescent="0.2">
      <c r="A12" s="63">
        <v>1</v>
      </c>
      <c r="B12" s="64" t="s">
        <v>290</v>
      </c>
      <c r="C12" s="611">
        <f>SUM(C13:C14)</f>
        <v>75000</v>
      </c>
      <c r="D12" s="611">
        <f>SUM(D13:D14)</f>
        <v>75000</v>
      </c>
      <c r="E12" s="67">
        <f>SUM(E13:E14)</f>
        <v>3000</v>
      </c>
      <c r="F12" s="67">
        <f t="shared" ref="F12:G12" si="3">SUM(F13:F14)</f>
        <v>0</v>
      </c>
      <c r="G12" s="67">
        <f t="shared" si="3"/>
        <v>3000</v>
      </c>
      <c r="H12" s="262">
        <f>SUM(H13:H14)</f>
        <v>3000</v>
      </c>
      <c r="I12" s="262">
        <f>SUM(I13:I14)</f>
        <v>0</v>
      </c>
      <c r="J12" s="262">
        <f>SUM(J13:J14)</f>
        <v>2</v>
      </c>
      <c r="K12" s="262">
        <f>SUM(K13:K14)</f>
        <v>2</v>
      </c>
      <c r="M12" s="84"/>
      <c r="N12" s="84"/>
      <c r="O12" s="84"/>
    </row>
    <row r="13" spans="1:16" s="47" customFormat="1" ht="16.899999999999999" customHeight="1" x14ac:dyDescent="0.2">
      <c r="A13" s="24" t="s">
        <v>273</v>
      </c>
      <c r="B13" s="27" t="s">
        <v>283</v>
      </c>
      <c r="C13" s="612">
        <v>75000</v>
      </c>
      <c r="D13" s="612">
        <v>75000</v>
      </c>
      <c r="E13" s="77">
        <f>F13+G13</f>
        <v>1500</v>
      </c>
      <c r="F13" s="601"/>
      <c r="G13" s="601">
        <f>H13+I13</f>
        <v>1500</v>
      </c>
      <c r="H13" s="608">
        <v>1500</v>
      </c>
      <c r="I13" s="162"/>
      <c r="J13" s="282">
        <f>E13/C13%</f>
        <v>2</v>
      </c>
      <c r="K13" s="282">
        <f>E13/D13%</f>
        <v>2</v>
      </c>
    </row>
    <row r="14" spans="1:16" s="9" customFormat="1" ht="15" customHeight="1" x14ac:dyDescent="0.2">
      <c r="A14" s="24" t="s">
        <v>273</v>
      </c>
      <c r="B14" s="27" t="s">
        <v>17</v>
      </c>
      <c r="C14" s="612"/>
      <c r="D14" s="612"/>
      <c r="E14" s="77">
        <f>F14+G14</f>
        <v>1500</v>
      </c>
      <c r="F14" s="602"/>
      <c r="G14" s="601">
        <f>H14+I14</f>
        <v>1500</v>
      </c>
      <c r="H14" s="483">
        <v>1500</v>
      </c>
      <c r="I14" s="161"/>
      <c r="J14" s="282"/>
      <c r="K14" s="282"/>
      <c r="M14" s="440"/>
    </row>
    <row r="15" spans="1:16" s="47" customFormat="1" ht="16.899999999999999" customHeight="1" x14ac:dyDescent="0.2">
      <c r="A15" s="63">
        <v>2</v>
      </c>
      <c r="B15" s="64" t="s">
        <v>291</v>
      </c>
      <c r="C15" s="611">
        <f>SUM(C16:C18)</f>
        <v>170000</v>
      </c>
      <c r="D15" s="611">
        <f>SUM(D16:D18)</f>
        <v>170000</v>
      </c>
      <c r="E15" s="67">
        <f>SUM(E16:E18)</f>
        <v>19155.170999999998</v>
      </c>
      <c r="F15" s="67">
        <f t="shared" ref="F15:G15" si="4">SUM(F16:F18)</f>
        <v>0</v>
      </c>
      <c r="G15" s="67">
        <f t="shared" si="4"/>
        <v>19155.170999999998</v>
      </c>
      <c r="H15" s="609">
        <f>SUM(H16:H18)</f>
        <v>19155.170999999998</v>
      </c>
      <c r="I15" s="262"/>
      <c r="J15" s="224">
        <f t="shared" ref="J15:J26" si="5">E15/C15%</f>
        <v>11.267747647058822</v>
      </c>
      <c r="K15" s="224">
        <f>E15/D15%</f>
        <v>11.267747647058822</v>
      </c>
      <c r="M15" s="84"/>
    </row>
    <row r="16" spans="1:16" s="9" customFormat="1" ht="16.899999999999999" customHeight="1" x14ac:dyDescent="0.2">
      <c r="A16" s="26" t="s">
        <v>273</v>
      </c>
      <c r="B16" s="27" t="s">
        <v>283</v>
      </c>
      <c r="C16" s="612">
        <v>60000</v>
      </c>
      <c r="D16" s="612">
        <v>60000</v>
      </c>
      <c r="E16" s="77">
        <f t="shared" ref="E16:E18" si="6">F16+G16</f>
        <v>7249.8440000000001</v>
      </c>
      <c r="F16" s="602"/>
      <c r="G16" s="601">
        <f t="shared" ref="G16:G18" si="7">H16+I16</f>
        <v>7249.8440000000001</v>
      </c>
      <c r="H16" s="608">
        <v>7249.8440000000001</v>
      </c>
      <c r="I16" s="161"/>
      <c r="J16" s="282">
        <f t="shared" si="5"/>
        <v>12.083073333333333</v>
      </c>
      <c r="K16" s="282">
        <f>E16/D16%</f>
        <v>12.083073333333333</v>
      </c>
      <c r="M16" s="423"/>
    </row>
    <row r="17" spans="1:15" s="9" customFormat="1" ht="16.899999999999999" customHeight="1" x14ac:dyDescent="0.2">
      <c r="A17" s="26" t="s">
        <v>273</v>
      </c>
      <c r="B17" s="27" t="s">
        <v>17</v>
      </c>
      <c r="C17" s="612">
        <v>60000</v>
      </c>
      <c r="D17" s="612">
        <v>60000</v>
      </c>
      <c r="E17" s="77">
        <f t="shared" si="6"/>
        <v>11905.326999999999</v>
      </c>
      <c r="F17" s="602"/>
      <c r="G17" s="601">
        <f t="shared" si="7"/>
        <v>11905.326999999999</v>
      </c>
      <c r="H17" s="608">
        <v>11905.326999999999</v>
      </c>
      <c r="I17" s="161"/>
      <c r="J17" s="282">
        <f t="shared" si="5"/>
        <v>19.842211666666664</v>
      </c>
      <c r="K17" s="282">
        <f>E17/D17%</f>
        <v>19.842211666666664</v>
      </c>
    </row>
    <row r="18" spans="1:15" s="9" customFormat="1" ht="16.899999999999999" customHeight="1" x14ac:dyDescent="0.2">
      <c r="A18" s="26" t="s">
        <v>273</v>
      </c>
      <c r="B18" s="27" t="s">
        <v>18</v>
      </c>
      <c r="C18" s="612">
        <v>50000</v>
      </c>
      <c r="D18" s="612">
        <v>50000</v>
      </c>
      <c r="E18" s="77">
        <f t="shared" si="6"/>
        <v>0</v>
      </c>
      <c r="F18" s="602"/>
      <c r="G18" s="601">
        <f t="shared" si="7"/>
        <v>0</v>
      </c>
      <c r="H18" s="483"/>
      <c r="I18" s="161"/>
      <c r="J18" s="282">
        <f t="shared" si="5"/>
        <v>0</v>
      </c>
      <c r="K18" s="282"/>
    </row>
    <row r="19" spans="1:15" s="47" customFormat="1" ht="16.899999999999999" customHeight="1" x14ac:dyDescent="0.2">
      <c r="A19" s="63">
        <v>3</v>
      </c>
      <c r="B19" s="64" t="s">
        <v>292</v>
      </c>
      <c r="C19" s="611">
        <f>SUM(C20:C23)</f>
        <v>20182000</v>
      </c>
      <c r="D19" s="611">
        <f>SUM(D20:D23)</f>
        <v>20182000</v>
      </c>
      <c r="E19" s="67">
        <f>SUM(E20:E23)</f>
        <v>22237139.019999996</v>
      </c>
      <c r="F19" s="67">
        <f t="shared" ref="F19:G19" si="8">SUM(F20:F23)</f>
        <v>0</v>
      </c>
      <c r="G19" s="67">
        <f t="shared" si="8"/>
        <v>22237139.019999996</v>
      </c>
      <c r="H19" s="609">
        <f>SUM(H20:H23)</f>
        <v>22237139.019999996</v>
      </c>
      <c r="I19" s="262"/>
      <c r="J19" s="224">
        <f t="shared" si="5"/>
        <v>110.18302953126546</v>
      </c>
      <c r="K19" s="224">
        <f t="shared" ref="K19:K26" si="9">E19/D19%</f>
        <v>110.18302953126546</v>
      </c>
    </row>
    <row r="20" spans="1:15" s="9" customFormat="1" ht="16.899999999999999" customHeight="1" x14ac:dyDescent="0.2">
      <c r="A20" s="26" t="s">
        <v>273</v>
      </c>
      <c r="B20" s="27" t="s">
        <v>283</v>
      </c>
      <c r="C20" s="482">
        <v>17710000</v>
      </c>
      <c r="D20" s="482">
        <v>17710000</v>
      </c>
      <c r="E20" s="77">
        <f t="shared" ref="E20:E23" si="10">F20+G20</f>
        <v>20081648.862</v>
      </c>
      <c r="F20" s="602"/>
      <c r="G20" s="601">
        <f t="shared" ref="G20:G23" si="11">H20+I20</f>
        <v>20081648.862</v>
      </c>
      <c r="H20" s="483">
        <v>20081648.862</v>
      </c>
      <c r="I20" s="161"/>
      <c r="J20" s="282">
        <f t="shared" si="5"/>
        <v>113.3915802484472</v>
      </c>
      <c r="K20" s="282">
        <f t="shared" si="9"/>
        <v>113.3915802484472</v>
      </c>
    </row>
    <row r="21" spans="1:15" s="9" customFormat="1" ht="16.899999999999999" customHeight="1" x14ac:dyDescent="0.2">
      <c r="A21" s="26" t="s">
        <v>273</v>
      </c>
      <c r="B21" s="27" t="s">
        <v>17</v>
      </c>
      <c r="C21" s="482">
        <v>750000</v>
      </c>
      <c r="D21" s="482">
        <v>750000</v>
      </c>
      <c r="E21" s="77">
        <f t="shared" si="10"/>
        <v>1735698.452</v>
      </c>
      <c r="F21" s="602"/>
      <c r="G21" s="601">
        <f t="shared" si="11"/>
        <v>1735698.452</v>
      </c>
      <c r="H21" s="483">
        <v>1735698.452</v>
      </c>
      <c r="I21" s="161"/>
      <c r="J21" s="282">
        <f t="shared" si="5"/>
        <v>231.42646026666668</v>
      </c>
      <c r="K21" s="282">
        <f t="shared" si="9"/>
        <v>231.42646026666668</v>
      </c>
    </row>
    <row r="22" spans="1:15" s="9" customFormat="1" ht="16.899999999999999" customHeight="1" x14ac:dyDescent="0.25">
      <c r="A22" s="26" t="s">
        <v>273</v>
      </c>
      <c r="B22" s="27" t="s">
        <v>293</v>
      </c>
      <c r="C22" s="482">
        <v>65000</v>
      </c>
      <c r="D22" s="482">
        <v>65000</v>
      </c>
      <c r="E22" s="77">
        <f t="shared" si="10"/>
        <v>116742.933</v>
      </c>
      <c r="F22" s="602"/>
      <c r="G22" s="601">
        <f t="shared" si="11"/>
        <v>116742.933</v>
      </c>
      <c r="H22" s="608">
        <v>116742.933</v>
      </c>
      <c r="I22" s="263"/>
      <c r="J22" s="282">
        <f t="shared" si="5"/>
        <v>179.60451230769232</v>
      </c>
      <c r="K22" s="282">
        <f t="shared" si="9"/>
        <v>179.60451230769232</v>
      </c>
    </row>
    <row r="23" spans="1:15" s="9" customFormat="1" ht="16.899999999999999" customHeight="1" x14ac:dyDescent="0.25">
      <c r="A23" s="26" t="s">
        <v>273</v>
      </c>
      <c r="B23" s="27" t="s">
        <v>18</v>
      </c>
      <c r="C23" s="482">
        <v>1657000</v>
      </c>
      <c r="D23" s="482">
        <v>1657000</v>
      </c>
      <c r="E23" s="77">
        <f t="shared" si="10"/>
        <v>303048.77299999999</v>
      </c>
      <c r="F23" s="602"/>
      <c r="G23" s="601">
        <f t="shared" si="11"/>
        <v>303048.77299999999</v>
      </c>
      <c r="H23" s="161">
        <v>303048.77299999999</v>
      </c>
      <c r="I23" s="264"/>
      <c r="J23" s="282">
        <f t="shared" si="5"/>
        <v>18.289002595051297</v>
      </c>
      <c r="K23" s="282">
        <f t="shared" si="9"/>
        <v>18.289002595051297</v>
      </c>
    </row>
    <row r="24" spans="1:15" s="47" customFormat="1" ht="16.899999999999999" customHeight="1" x14ac:dyDescent="0.2">
      <c r="A24" s="63">
        <v>4</v>
      </c>
      <c r="B24" s="64" t="s">
        <v>9</v>
      </c>
      <c r="C24" s="613">
        <v>6397000</v>
      </c>
      <c r="D24" s="613">
        <v>6397000</v>
      </c>
      <c r="E24" s="1566">
        <f>F24+G24</f>
        <v>7192244.7400000002</v>
      </c>
      <c r="F24" s="600"/>
      <c r="G24" s="1565">
        <f>H24+I24</f>
        <v>7192244.7400000002</v>
      </c>
      <c r="H24" s="262">
        <v>7192244.7400000002</v>
      </c>
      <c r="I24" s="439"/>
      <c r="J24" s="224">
        <f t="shared" si="5"/>
        <v>112.4315263404721</v>
      </c>
      <c r="K24" s="224">
        <f t="shared" si="9"/>
        <v>112.4315263404721</v>
      </c>
    </row>
    <row r="25" spans="1:15" s="47" customFormat="1" ht="18.75" customHeight="1" x14ac:dyDescent="0.2">
      <c r="A25" s="63">
        <v>5</v>
      </c>
      <c r="B25" s="64" t="s">
        <v>10</v>
      </c>
      <c r="C25" s="613">
        <v>10800000</v>
      </c>
      <c r="D25" s="613">
        <v>10800000</v>
      </c>
      <c r="E25" s="1566">
        <f t="shared" ref="E25:E31" si="12">F25+G25</f>
        <v>14350814.307</v>
      </c>
      <c r="F25" s="600"/>
      <c r="G25" s="1565">
        <f t="shared" ref="G25:G31" si="13">H25+I25</f>
        <v>14350814.307</v>
      </c>
      <c r="H25" s="262">
        <v>14350814.307</v>
      </c>
      <c r="I25" s="439"/>
      <c r="J25" s="224">
        <f t="shared" si="5"/>
        <v>132.87791025000001</v>
      </c>
      <c r="K25" s="224">
        <f t="shared" si="9"/>
        <v>132.87791025000001</v>
      </c>
    </row>
    <row r="26" spans="1:15" s="47" customFormat="1" ht="18.75" customHeight="1" x14ac:dyDescent="0.2">
      <c r="A26" s="63">
        <v>6</v>
      </c>
      <c r="B26" s="64" t="s">
        <v>193</v>
      </c>
      <c r="C26" s="613">
        <v>2487000</v>
      </c>
      <c r="D26" s="613">
        <v>2487000</v>
      </c>
      <c r="E26" s="1566">
        <f t="shared" si="12"/>
        <v>1947297.774</v>
      </c>
      <c r="F26" s="600">
        <v>398396.95199999999</v>
      </c>
      <c r="G26" s="1565">
        <f t="shared" si="13"/>
        <v>1548900.8219999999</v>
      </c>
      <c r="H26" s="262">
        <v>1548900.8219999999</v>
      </c>
      <c r="I26" s="439"/>
      <c r="J26" s="224">
        <f t="shared" si="5"/>
        <v>78.299066103739449</v>
      </c>
      <c r="K26" s="224">
        <f t="shared" si="9"/>
        <v>78.299066103739449</v>
      </c>
    </row>
    <row r="27" spans="1:15" s="47" customFormat="1" ht="18.75" customHeight="1" x14ac:dyDescent="0.2">
      <c r="A27" s="63">
        <v>7</v>
      </c>
      <c r="B27" s="25" t="s">
        <v>22</v>
      </c>
      <c r="C27" s="613"/>
      <c r="D27" s="613"/>
      <c r="E27" s="1566">
        <f t="shared" si="12"/>
        <v>0</v>
      </c>
      <c r="F27" s="600"/>
      <c r="G27" s="1565">
        <f t="shared" si="13"/>
        <v>0</v>
      </c>
      <c r="H27" s="262"/>
      <c r="I27" s="439"/>
      <c r="J27" s="224"/>
      <c r="K27" s="224"/>
    </row>
    <row r="28" spans="1:15" s="47" customFormat="1" ht="18.75" customHeight="1" x14ac:dyDescent="0.2">
      <c r="A28" s="63">
        <v>8</v>
      </c>
      <c r="B28" s="25" t="s">
        <v>21</v>
      </c>
      <c r="C28" s="613">
        <v>240000</v>
      </c>
      <c r="D28" s="613">
        <v>240000</v>
      </c>
      <c r="E28" s="1566">
        <f t="shared" si="12"/>
        <v>370127.70199999999</v>
      </c>
      <c r="F28" s="604"/>
      <c r="G28" s="1565">
        <f t="shared" si="13"/>
        <v>370127.70199999999</v>
      </c>
      <c r="H28" s="605">
        <v>370127.70199999999</v>
      </c>
      <c r="I28" s="606"/>
      <c r="J28" s="224">
        <f>E28/C28%</f>
        <v>154.21987583333333</v>
      </c>
      <c r="K28" s="224">
        <f>E28/D28%</f>
        <v>154.21987583333333</v>
      </c>
    </row>
    <row r="29" spans="1:15" s="47" customFormat="1" ht="18.75" customHeight="1" x14ac:dyDescent="0.2">
      <c r="A29" s="63">
        <v>9</v>
      </c>
      <c r="B29" s="25" t="s">
        <v>23</v>
      </c>
      <c r="C29" s="613">
        <v>116300000</v>
      </c>
      <c r="D29" s="613">
        <v>116300000</v>
      </c>
      <c r="E29" s="1566">
        <f t="shared" si="12"/>
        <v>15647005.002</v>
      </c>
      <c r="F29" s="604"/>
      <c r="G29" s="1565">
        <f t="shared" si="13"/>
        <v>15647005.002</v>
      </c>
      <c r="H29" s="604">
        <v>15647005.002</v>
      </c>
      <c r="I29" s="604"/>
      <c r="J29" s="224">
        <f>E29/C29%</f>
        <v>13.454002581255374</v>
      </c>
      <c r="K29" s="224">
        <f>E29/D29%</f>
        <v>13.454002581255374</v>
      </c>
      <c r="N29" s="276"/>
      <c r="O29" s="276"/>
    </row>
    <row r="30" spans="1:15" s="47" customFormat="1" ht="29.25" hidden="1" customHeight="1" x14ac:dyDescent="0.2">
      <c r="A30" s="63">
        <v>10</v>
      </c>
      <c r="B30" s="25" t="s">
        <v>351</v>
      </c>
      <c r="C30" s="614">
        <v>0</v>
      </c>
      <c r="D30" s="614">
        <v>0</v>
      </c>
      <c r="E30" s="1566">
        <f t="shared" si="12"/>
        <v>0</v>
      </c>
      <c r="F30" s="604">
        <v>0</v>
      </c>
      <c r="G30" s="1565">
        <f t="shared" si="13"/>
        <v>0</v>
      </c>
      <c r="H30" s="604">
        <v>0</v>
      </c>
      <c r="I30" s="604">
        <v>0</v>
      </c>
      <c r="J30" s="224">
        <v>0</v>
      </c>
      <c r="K30" s="224">
        <v>0</v>
      </c>
    </row>
    <row r="31" spans="1:15" s="47" customFormat="1" ht="15.75" customHeight="1" x14ac:dyDescent="0.2">
      <c r="A31" s="63">
        <v>10</v>
      </c>
      <c r="B31" s="25" t="s">
        <v>11</v>
      </c>
      <c r="C31" s="613">
        <v>1432000</v>
      </c>
      <c r="D31" s="613">
        <v>1432000</v>
      </c>
      <c r="E31" s="1566">
        <f t="shared" si="12"/>
        <v>2144187.3090000004</v>
      </c>
      <c r="F31" s="604">
        <v>1062482.55</v>
      </c>
      <c r="G31" s="1565">
        <f t="shared" si="13"/>
        <v>1081704.7590000001</v>
      </c>
      <c r="H31" s="604">
        <v>752384.63199999998</v>
      </c>
      <c r="I31" s="604">
        <v>329320.12699999998</v>
      </c>
      <c r="J31" s="224">
        <f>E31/C31%</f>
        <v>149.73375062849163</v>
      </c>
      <c r="K31" s="224">
        <f>E31/D31%</f>
        <v>149.73375062849163</v>
      </c>
      <c r="N31" s="276"/>
    </row>
    <row r="32" spans="1:15" s="47" customFormat="1" ht="15.75" customHeight="1" x14ac:dyDescent="0.2">
      <c r="A32" s="45" t="s">
        <v>12</v>
      </c>
      <c r="B32" s="46" t="s">
        <v>94</v>
      </c>
      <c r="C32" s="416"/>
      <c r="D32" s="416"/>
      <c r="E32" s="67"/>
      <c r="F32" s="600"/>
      <c r="G32" s="600"/>
      <c r="H32" s="262"/>
      <c r="I32" s="262"/>
      <c r="J32" s="224"/>
      <c r="K32" s="270"/>
    </row>
    <row r="33" spans="1:13" s="47" customFormat="1" ht="15.75" customHeight="1" x14ac:dyDescent="0.2">
      <c r="A33" s="45" t="s">
        <v>19</v>
      </c>
      <c r="B33" s="46" t="s">
        <v>95</v>
      </c>
      <c r="C33" s="417"/>
      <c r="D33" s="417"/>
      <c r="E33" s="224"/>
      <c r="F33" s="600"/>
      <c r="G33" s="600"/>
      <c r="H33" s="262"/>
      <c r="I33" s="262"/>
      <c r="J33" s="224"/>
      <c r="K33" s="270"/>
    </row>
    <row r="34" spans="1:13" s="47" customFormat="1" ht="15.75" hidden="1" customHeight="1" x14ac:dyDescent="0.2">
      <c r="A34" s="45" t="s">
        <v>20</v>
      </c>
      <c r="B34" s="46" t="s">
        <v>330</v>
      </c>
      <c r="C34" s="417"/>
      <c r="D34" s="417"/>
      <c r="E34" s="224">
        <f>SUM(F34:I34)</f>
        <v>0</v>
      </c>
      <c r="F34" s="600"/>
      <c r="G34" s="600"/>
      <c r="H34" s="262">
        <v>0</v>
      </c>
      <c r="I34" s="262"/>
      <c r="J34" s="224"/>
      <c r="K34" s="270"/>
    </row>
    <row r="35" spans="1:13" s="47" customFormat="1" ht="15.75" customHeight="1" x14ac:dyDescent="0.2">
      <c r="A35" s="45" t="s">
        <v>20</v>
      </c>
      <c r="B35" s="46" t="s">
        <v>96</v>
      </c>
      <c r="C35" s="416"/>
      <c r="D35" s="416"/>
      <c r="E35" s="1566">
        <f>F35+G35</f>
        <v>747200</v>
      </c>
      <c r="F35" s="615"/>
      <c r="G35" s="1565">
        <f t="shared" ref="G35" si="14">H35+I35</f>
        <v>747200</v>
      </c>
      <c r="H35" s="616">
        <v>747200</v>
      </c>
      <c r="I35" s="262"/>
      <c r="J35" s="224"/>
      <c r="K35" s="270"/>
    </row>
    <row r="36" spans="1:13" s="47" customFormat="1" ht="18.75" hidden="1" customHeight="1" x14ac:dyDescent="0.2">
      <c r="A36" s="72" t="s">
        <v>24</v>
      </c>
      <c r="B36" s="73" t="s">
        <v>456</v>
      </c>
      <c r="C36" s="418"/>
      <c r="D36" s="418"/>
      <c r="E36" s="617">
        <f>SUM(F36:I36)</f>
        <v>0</v>
      </c>
      <c r="F36" s="603"/>
      <c r="G36" s="603"/>
      <c r="H36" s="438"/>
      <c r="I36" s="265"/>
      <c r="J36" s="260"/>
      <c r="K36" s="271"/>
    </row>
    <row r="37" spans="1:13" s="47" customFormat="1" ht="15" customHeight="1" x14ac:dyDescent="0.2">
      <c r="A37" s="123" t="s">
        <v>5</v>
      </c>
      <c r="B37" s="138" t="s">
        <v>97</v>
      </c>
      <c r="C37" s="419"/>
      <c r="D37" s="419"/>
      <c r="E37" s="120">
        <f>SUM(E38,E43)</f>
        <v>176107963.10499999</v>
      </c>
      <c r="F37" s="266"/>
      <c r="G37" s="266"/>
      <c r="H37" s="266"/>
      <c r="I37" s="266">
        <f>SUM(I38,I43)</f>
        <v>176107963.10499999</v>
      </c>
      <c r="J37" s="139"/>
      <c r="K37" s="123"/>
      <c r="M37" s="276"/>
    </row>
    <row r="38" spans="1:13" s="47" customFormat="1" ht="15" customHeight="1" x14ac:dyDescent="0.2">
      <c r="A38" s="134" t="s">
        <v>6</v>
      </c>
      <c r="B38" s="135" t="s">
        <v>55</v>
      </c>
      <c r="C38" s="420"/>
      <c r="D38" s="420"/>
      <c r="E38" s="136">
        <f>SUM(I38:I38)</f>
        <v>176107963.10499999</v>
      </c>
      <c r="F38" s="267"/>
      <c r="G38" s="267"/>
      <c r="H38" s="267"/>
      <c r="I38" s="267">
        <f>SUM(I39:I40)</f>
        <v>176107963.10499999</v>
      </c>
      <c r="J38" s="137"/>
      <c r="K38" s="134"/>
    </row>
    <row r="39" spans="1:13" s="47" customFormat="1" ht="15" customHeight="1" x14ac:dyDescent="0.2">
      <c r="A39" s="81" t="s">
        <v>98</v>
      </c>
      <c r="B39" s="76" t="s">
        <v>99</v>
      </c>
      <c r="C39" s="416"/>
      <c r="D39" s="416"/>
      <c r="E39" s="67">
        <f>SUM(I39:I39)</f>
        <v>129620000</v>
      </c>
      <c r="F39" s="262"/>
      <c r="G39" s="262"/>
      <c r="H39" s="262"/>
      <c r="I39" s="268">
        <v>129620000</v>
      </c>
      <c r="J39" s="80"/>
      <c r="K39" s="45"/>
    </row>
    <row r="40" spans="1:13" s="47" customFormat="1" ht="15" customHeight="1" x14ac:dyDescent="0.2">
      <c r="A40" s="81" t="s">
        <v>100</v>
      </c>
      <c r="B40" s="76" t="s">
        <v>101</v>
      </c>
      <c r="C40" s="416"/>
      <c r="D40" s="416"/>
      <c r="E40" s="67">
        <f>SUM(I40:I40)</f>
        <v>46487963.104999997</v>
      </c>
      <c r="F40" s="262"/>
      <c r="G40" s="262"/>
      <c r="H40" s="262"/>
      <c r="I40" s="268">
        <f>I41+I42</f>
        <v>46487963.104999997</v>
      </c>
      <c r="J40" s="80"/>
      <c r="K40" s="45"/>
    </row>
    <row r="41" spans="1:13" s="622" customFormat="1" ht="15" customHeight="1" x14ac:dyDescent="0.25">
      <c r="A41" s="37" t="s">
        <v>40</v>
      </c>
      <c r="B41" s="33" t="s">
        <v>102</v>
      </c>
      <c r="C41" s="618"/>
      <c r="D41" s="618"/>
      <c r="E41" s="619">
        <f>SUM(I41:I41)</f>
        <v>46487963.104999997</v>
      </c>
      <c r="F41" s="620"/>
      <c r="G41" s="620"/>
      <c r="H41" s="620"/>
      <c r="I41" s="1440">
        <v>46487963.104999997</v>
      </c>
      <c r="J41" s="621"/>
      <c r="K41" s="37"/>
      <c r="M41" s="325"/>
    </row>
    <row r="42" spans="1:13" s="9" customFormat="1" ht="15" customHeight="1" x14ac:dyDescent="0.2">
      <c r="A42" s="37" t="s">
        <v>41</v>
      </c>
      <c r="B42" s="33" t="s">
        <v>103</v>
      </c>
      <c r="C42" s="356"/>
      <c r="D42" s="356"/>
      <c r="E42" s="55"/>
      <c r="F42" s="161"/>
      <c r="G42" s="161"/>
      <c r="H42" s="161"/>
      <c r="I42" s="483"/>
      <c r="J42" s="80"/>
      <c r="K42" s="71"/>
    </row>
    <row r="43" spans="1:13" s="47" customFormat="1" ht="15" customHeight="1" x14ac:dyDescent="0.2">
      <c r="A43" s="130" t="s">
        <v>12</v>
      </c>
      <c r="B43" s="131" t="s">
        <v>104</v>
      </c>
      <c r="C43" s="421"/>
      <c r="D43" s="421"/>
      <c r="E43" s="132">
        <f>SUM(I43:I43)</f>
        <v>0</v>
      </c>
      <c r="F43" s="269"/>
      <c r="G43" s="269"/>
      <c r="H43" s="269"/>
      <c r="I43" s="1441"/>
      <c r="J43" s="133"/>
      <c r="K43" s="130"/>
    </row>
    <row r="44" spans="1:13" s="47" customFormat="1" ht="15" customHeight="1" x14ac:dyDescent="0.2">
      <c r="A44" s="123" t="s">
        <v>42</v>
      </c>
      <c r="B44" s="138" t="s">
        <v>105</v>
      </c>
      <c r="C44" s="419"/>
      <c r="D44" s="419"/>
      <c r="E44" s="120">
        <f>SUM(I44:I44)</f>
        <v>3850888.9619999998</v>
      </c>
      <c r="F44" s="266"/>
      <c r="G44" s="266"/>
      <c r="H44" s="266"/>
      <c r="I44" s="1442">
        <v>3850888.9619999998</v>
      </c>
      <c r="J44" s="139"/>
      <c r="K44" s="123"/>
    </row>
    <row r="45" spans="1:13" s="47" customFormat="1" ht="15" customHeight="1" x14ac:dyDescent="0.2">
      <c r="A45" s="123" t="s">
        <v>64</v>
      </c>
      <c r="B45" s="138" t="s">
        <v>106</v>
      </c>
      <c r="C45" s="419"/>
      <c r="D45" s="419"/>
      <c r="E45" s="120">
        <f>SUM(I45:I45)</f>
        <v>104011.51</v>
      </c>
      <c r="F45" s="266"/>
      <c r="G45" s="266"/>
      <c r="H45" s="266"/>
      <c r="I45" s="1442">
        <v>104011.51</v>
      </c>
      <c r="J45" s="139"/>
      <c r="K45" s="123"/>
    </row>
    <row r="46" spans="1:13" ht="14.25" customHeight="1" x14ac:dyDescent="0.25">
      <c r="A46" s="4"/>
    </row>
    <row r="47" spans="1:13" ht="15.75" hidden="1" customHeight="1" x14ac:dyDescent="0.25">
      <c r="A47" s="1843" t="s">
        <v>457</v>
      </c>
      <c r="B47" s="1843"/>
      <c r="C47" s="1843"/>
      <c r="D47" s="1843"/>
      <c r="E47" s="1843"/>
      <c r="F47" s="372"/>
      <c r="G47" s="372"/>
      <c r="H47" s="1843" t="s">
        <v>940</v>
      </c>
      <c r="I47" s="1843"/>
      <c r="J47" s="1843"/>
      <c r="K47" s="1843"/>
      <c r="L47" s="1843"/>
    </row>
    <row r="48" spans="1:13" ht="15.75" hidden="1" customHeight="1" x14ac:dyDescent="0.25">
      <c r="A48" s="1775" t="s">
        <v>462</v>
      </c>
      <c r="B48" s="1775"/>
      <c r="C48" s="1763" t="s">
        <v>461</v>
      </c>
      <c r="D48" s="1763"/>
      <c r="E48" s="1763"/>
      <c r="F48" s="1763"/>
      <c r="G48" s="1544"/>
      <c r="H48" s="1775" t="s">
        <v>458</v>
      </c>
      <c r="I48" s="1775"/>
      <c r="J48" s="1775"/>
      <c r="K48" s="1775"/>
      <c r="L48" s="1775"/>
    </row>
    <row r="49" spans="1:13" ht="15.75" hidden="1" customHeight="1" x14ac:dyDescent="0.25">
      <c r="A49" s="1843" t="s">
        <v>14</v>
      </c>
      <c r="B49" s="1843"/>
      <c r="C49" s="1852" t="s">
        <v>378</v>
      </c>
      <c r="D49" s="1852"/>
      <c r="E49" s="1852"/>
      <c r="F49" s="1852"/>
      <c r="G49" s="1552"/>
      <c r="H49" s="1852" t="s">
        <v>271</v>
      </c>
      <c r="I49" s="1852"/>
      <c r="J49" s="1852"/>
      <c r="K49" s="1852"/>
      <c r="L49" s="1852"/>
    </row>
    <row r="50" spans="1:13" ht="15.75" hidden="1" x14ac:dyDescent="0.25">
      <c r="A50" s="288"/>
      <c r="B50" s="288"/>
      <c r="C50" s="286"/>
      <c r="D50" s="286"/>
      <c r="E50" s="87"/>
      <c r="F50" s="373"/>
      <c r="G50" s="373"/>
      <c r="H50" s="373"/>
      <c r="I50" s="374"/>
    </row>
    <row r="51" spans="1:13" ht="15.75" hidden="1" x14ac:dyDescent="0.25">
      <c r="A51" s="288"/>
      <c r="B51" s="288"/>
      <c r="C51" s="286"/>
      <c r="D51" s="286"/>
      <c r="E51" s="87"/>
      <c r="F51" s="373"/>
      <c r="G51" s="373"/>
      <c r="H51" s="373"/>
      <c r="I51" s="374"/>
    </row>
    <row r="52" spans="1:13" ht="15.75" hidden="1" x14ac:dyDescent="0.25">
      <c r="C52" s="87"/>
      <c r="D52" s="87"/>
      <c r="E52" s="87"/>
      <c r="F52" s="373"/>
      <c r="G52" s="373"/>
      <c r="H52" s="373"/>
      <c r="I52" s="374"/>
    </row>
    <row r="53" spans="1:13" ht="15.75" hidden="1" x14ac:dyDescent="0.25">
      <c r="C53" s="1858"/>
      <c r="D53" s="1858"/>
      <c r="E53" s="1858"/>
      <c r="F53" s="375"/>
      <c r="G53" s="375"/>
      <c r="H53" s="375"/>
      <c r="I53" s="374"/>
    </row>
    <row r="54" spans="1:13" ht="15.75" hidden="1" x14ac:dyDescent="0.25">
      <c r="C54" s="87"/>
      <c r="D54" s="87"/>
      <c r="E54" s="87"/>
      <c r="F54" s="373"/>
      <c r="G54" s="373"/>
      <c r="H54" s="373"/>
      <c r="I54" s="374"/>
    </row>
    <row r="55" spans="1:13" ht="15.75" hidden="1" x14ac:dyDescent="0.25">
      <c r="C55" s="87"/>
      <c r="D55" s="87"/>
      <c r="E55" s="87"/>
      <c r="F55" s="373"/>
      <c r="G55" s="373"/>
      <c r="H55" s="373"/>
      <c r="I55" s="374"/>
    </row>
    <row r="56" spans="1:13" ht="16.5" hidden="1" x14ac:dyDescent="0.25">
      <c r="C56" s="1858" t="s">
        <v>460</v>
      </c>
      <c r="D56" s="1858"/>
      <c r="E56" s="1858"/>
      <c r="F56" s="1858"/>
      <c r="G56" s="1551"/>
      <c r="H56" s="1857" t="s">
        <v>459</v>
      </c>
      <c r="I56" s="1857"/>
      <c r="J56" s="1857"/>
      <c r="K56" s="1857"/>
      <c r="L56" s="223"/>
    </row>
    <row r="57" spans="1:13" hidden="1" x14ac:dyDescent="0.25"/>
    <row r="58" spans="1:13" hidden="1" x14ac:dyDescent="0.25">
      <c r="M58" s="434"/>
    </row>
    <row r="59" spans="1:13" hidden="1" x14ac:dyDescent="0.25"/>
    <row r="60" spans="1:13" ht="15.75" hidden="1" customHeight="1" x14ac:dyDescent="0.25"/>
  </sheetData>
  <mergeCells count="25">
    <mergeCell ref="F6:F7"/>
    <mergeCell ref="G6:G7"/>
    <mergeCell ref="H6:I6"/>
    <mergeCell ref="I1:K1"/>
    <mergeCell ref="H56:K56"/>
    <mergeCell ref="J5:K5"/>
    <mergeCell ref="C56:F56"/>
    <mergeCell ref="C53:E53"/>
    <mergeCell ref="C49:F49"/>
    <mergeCell ref="A49:B49"/>
    <mergeCell ref="A2:K2"/>
    <mergeCell ref="A3:K3"/>
    <mergeCell ref="A47:B47"/>
    <mergeCell ref="A48:B48"/>
    <mergeCell ref="A5:A7"/>
    <mergeCell ref="B5:B7"/>
    <mergeCell ref="C5:D5"/>
    <mergeCell ref="E5:E7"/>
    <mergeCell ref="F5:I5"/>
    <mergeCell ref="I4:K4"/>
    <mergeCell ref="H47:L47"/>
    <mergeCell ref="H48:L48"/>
    <mergeCell ref="H49:L49"/>
    <mergeCell ref="C47:E47"/>
    <mergeCell ref="C48:F48"/>
  </mergeCells>
  <printOptions horizontalCentered="1"/>
  <pageMargins left="0.32" right="0.28999999999999998" top="0.62" bottom="0.64" header="0.31496062992126" footer="0.31496062992126"/>
  <pageSetup paperSize="9" scale="90" firstPageNumber="41" orientation="landscape" useFirstPageNumber="1"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115" zoomScaleNormal="115" zoomScalePageLayoutView="85" workbookViewId="0">
      <pane xSplit="2" ySplit="8" topLeftCell="C9" activePane="bottomRight" state="frozen"/>
      <selection pane="topRight" activeCell="C1" sqref="C1"/>
      <selection pane="bottomLeft" activeCell="A8" sqref="A8"/>
      <selection pane="bottomRight" activeCell="A63" sqref="A63:XFD78"/>
    </sheetView>
  </sheetViews>
  <sheetFormatPr defaultRowHeight="15" x14ac:dyDescent="0.25"/>
  <cols>
    <col min="1" max="1" width="5.42578125" style="92" customWidth="1"/>
    <col min="2" max="2" width="36.140625" style="92" customWidth="1"/>
    <col min="3" max="4" width="14.7109375" style="92" customWidth="1"/>
    <col min="5" max="5" width="15.140625" style="428" customWidth="1"/>
    <col min="6" max="6" width="15.7109375" style="428" customWidth="1"/>
    <col min="7" max="7" width="15.7109375" style="819" customWidth="1"/>
    <col min="8" max="8" width="10.7109375" style="92" customWidth="1"/>
    <col min="9" max="9" width="11.140625" style="92" customWidth="1"/>
    <col min="10" max="10" width="9.140625" style="92"/>
    <col min="11" max="11" width="16.28515625" style="92" customWidth="1"/>
    <col min="12" max="16384" width="9.140625" style="92"/>
  </cols>
  <sheetData>
    <row r="1" spans="1:11" s="817" customFormat="1" x14ac:dyDescent="0.25">
      <c r="A1" s="156" t="str">
        <f>'48N'!A1</f>
        <v>UBND PHƯỜNG ĐỨC XUÂN</v>
      </c>
      <c r="E1" s="431"/>
      <c r="F1" s="431"/>
      <c r="G1" s="818"/>
      <c r="H1" s="1856" t="s">
        <v>941</v>
      </c>
      <c r="I1" s="1856"/>
      <c r="J1" s="1114"/>
    </row>
    <row r="2" spans="1:11" ht="15.75" x14ac:dyDescent="0.25">
      <c r="A2" s="1840" t="s">
        <v>515</v>
      </c>
      <c r="B2" s="1840"/>
      <c r="C2" s="1840"/>
      <c r="D2" s="1840"/>
      <c r="E2" s="1840"/>
      <c r="F2" s="1840"/>
      <c r="G2" s="1840"/>
      <c r="H2" s="1840"/>
      <c r="I2" s="1840"/>
    </row>
    <row r="3" spans="1:11" ht="15.75" x14ac:dyDescent="0.25">
      <c r="A3" s="1859" t="str">
        <f>'60'!A3:K3</f>
        <v>(Kèm theo Tờ trình số    /TTr-KTHT&amp;ĐT ngày      /4/2026 của phòng KTHT&amp;ĐT phường Đức Xuân)</v>
      </c>
      <c r="B3" s="1859"/>
      <c r="C3" s="1859"/>
      <c r="D3" s="1859"/>
      <c r="E3" s="1859"/>
      <c r="F3" s="1859"/>
      <c r="G3" s="1859"/>
      <c r="H3" s="1859"/>
      <c r="I3" s="1859"/>
    </row>
    <row r="4" spans="1:11" ht="21.75" customHeight="1" x14ac:dyDescent="0.25">
      <c r="D4" s="158"/>
      <c r="I4" s="191" t="s">
        <v>427</v>
      </c>
    </row>
    <row r="5" spans="1:11" s="156" customFormat="1" ht="20.25" customHeight="1" x14ac:dyDescent="0.2">
      <c r="A5" s="1758" t="s">
        <v>1</v>
      </c>
      <c r="B5" s="1758" t="s">
        <v>107</v>
      </c>
      <c r="C5" s="1758" t="s">
        <v>88</v>
      </c>
      <c r="D5" s="1758"/>
      <c r="E5" s="1758" t="s">
        <v>89</v>
      </c>
      <c r="F5" s="1860"/>
      <c r="G5" s="1758"/>
      <c r="H5" s="1758" t="s">
        <v>108</v>
      </c>
      <c r="I5" s="1758"/>
    </row>
    <row r="6" spans="1:11" s="156" customFormat="1" ht="20.25" customHeight="1" x14ac:dyDescent="0.2">
      <c r="A6" s="1860"/>
      <c r="B6" s="1860"/>
      <c r="C6" s="1611"/>
      <c r="D6" s="1611"/>
      <c r="E6" s="1861" t="s">
        <v>86</v>
      </c>
      <c r="F6" s="1862"/>
      <c r="G6" s="1863"/>
      <c r="H6" s="1611"/>
      <c r="I6" s="1611"/>
    </row>
    <row r="7" spans="1:11" s="156" customFormat="1" ht="68.25" customHeight="1" x14ac:dyDescent="0.2">
      <c r="A7" s="1758"/>
      <c r="B7" s="1758"/>
      <c r="C7" s="10" t="s">
        <v>91</v>
      </c>
      <c r="D7" s="10" t="s">
        <v>92</v>
      </c>
      <c r="E7" s="625" t="s">
        <v>15</v>
      </c>
      <c r="F7" s="784" t="s">
        <v>1012</v>
      </c>
      <c r="G7" s="820" t="s">
        <v>1013</v>
      </c>
      <c r="H7" s="10" t="s">
        <v>91</v>
      </c>
      <c r="I7" s="10" t="s">
        <v>92</v>
      </c>
    </row>
    <row r="8" spans="1:11" s="821" customFormat="1" ht="15.75" customHeight="1" x14ac:dyDescent="0.2">
      <c r="A8" s="459" t="s">
        <v>4</v>
      </c>
      <c r="B8" s="459" t="s">
        <v>5</v>
      </c>
      <c r="C8" s="459">
        <v>1</v>
      </c>
      <c r="D8" s="459">
        <v>2</v>
      </c>
      <c r="E8" s="626" t="s">
        <v>226</v>
      </c>
      <c r="F8" s="1547">
        <v>4</v>
      </c>
      <c r="G8" s="459">
        <v>5</v>
      </c>
      <c r="H8" s="459" t="s">
        <v>295</v>
      </c>
      <c r="I8" s="459" t="s">
        <v>296</v>
      </c>
    </row>
    <row r="9" spans="1:11" s="156" customFormat="1" ht="18.75" customHeight="1" x14ac:dyDescent="0.2">
      <c r="A9" s="822" t="s">
        <v>4</v>
      </c>
      <c r="B9" s="825" t="s">
        <v>109</v>
      </c>
      <c r="C9" s="823">
        <f>SUM(C29,C36,C53,C54)</f>
        <v>131541000</v>
      </c>
      <c r="D9" s="823">
        <f>SUM(D29,D36,D53,D54)</f>
        <v>131541000</v>
      </c>
      <c r="E9" s="823">
        <f>SUM(E10,E36,E53,E54)</f>
        <v>178541573.227</v>
      </c>
      <c r="F9" s="823">
        <f>SUM(F10,F36,F53,F54)</f>
        <v>1751863.93</v>
      </c>
      <c r="G9" s="823">
        <f>SUM(G10,G36,G53,G54)</f>
        <v>176789709.29699999</v>
      </c>
      <c r="H9" s="840">
        <f>E9/C9</f>
        <v>1.357307403980508</v>
      </c>
      <c r="I9" s="840">
        <f>E9/D9</f>
        <v>1.357307403980508</v>
      </c>
    </row>
    <row r="10" spans="1:11" s="156" customFormat="1" ht="18" customHeight="1" x14ac:dyDescent="0.2">
      <c r="A10" s="822" t="s">
        <v>6</v>
      </c>
      <c r="B10" s="825" t="s">
        <v>29</v>
      </c>
      <c r="C10" s="823">
        <f>SUM(C12,C32,C34)</f>
        <v>8203000</v>
      </c>
      <c r="D10" s="823">
        <f>SUM(D12,D16,D19)</f>
        <v>12468000</v>
      </c>
      <c r="E10" s="824">
        <f>E29+E34</f>
        <v>16392012.588</v>
      </c>
      <c r="F10" s="824">
        <f t="shared" ref="F10:G10" si="0">F29+F34</f>
        <v>54000</v>
      </c>
      <c r="G10" s="824">
        <f t="shared" si="0"/>
        <v>16338012.588</v>
      </c>
      <c r="H10" s="840">
        <f>E10/C10</f>
        <v>1.9982948418871145</v>
      </c>
      <c r="I10" s="840">
        <f>E10/D10</f>
        <v>1.3147267074109721</v>
      </c>
    </row>
    <row r="11" spans="1:11" s="156" customFormat="1" ht="29.25" customHeight="1" x14ac:dyDescent="0.2">
      <c r="A11" s="822" t="s">
        <v>1014</v>
      </c>
      <c r="B11" s="825" t="s">
        <v>1015</v>
      </c>
      <c r="C11" s="824">
        <f>C12+C16+C19</f>
        <v>12468000</v>
      </c>
      <c r="D11" s="824">
        <f>D12+D16+D19+D25</f>
        <v>12468000</v>
      </c>
      <c r="E11" s="824">
        <f>E12+E16+E19+E25</f>
        <v>16392012.588</v>
      </c>
      <c r="F11" s="824">
        <f>F12+F16+F19+F25</f>
        <v>60964.895000000004</v>
      </c>
      <c r="G11" s="824">
        <f>G12+G16+G19+G25</f>
        <v>16331047.693</v>
      </c>
      <c r="H11" s="840">
        <f>E11/C11</f>
        <v>1.3147267074109721</v>
      </c>
      <c r="I11" s="840">
        <f>E11/D11</f>
        <v>1.3147267074109721</v>
      </c>
      <c r="K11" s="157">
        <f>E10-E11</f>
        <v>0</v>
      </c>
    </row>
    <row r="12" spans="1:11" s="1661" customFormat="1" ht="22.5" customHeight="1" x14ac:dyDescent="0.25">
      <c r="A12" s="1657">
        <v>1</v>
      </c>
      <c r="B12" s="502" t="s">
        <v>1016</v>
      </c>
      <c r="C12" s="1658">
        <f>C13+C15</f>
        <v>8203000</v>
      </c>
      <c r="D12" s="1658">
        <f>D13+D15</f>
        <v>8203000</v>
      </c>
      <c r="E12" s="1659">
        <f>E13+E15</f>
        <v>8177840.3949999996</v>
      </c>
      <c r="F12" s="1659">
        <f t="shared" ref="F12:G12" si="1">F13+F15</f>
        <v>6964.8950000000004</v>
      </c>
      <c r="G12" s="1659">
        <f t="shared" si="1"/>
        <v>8170875.5</v>
      </c>
      <c r="H12" s="1660">
        <f>E12/C12</f>
        <v>0.99693287760575389</v>
      </c>
      <c r="I12" s="1660">
        <f>E12/D12</f>
        <v>0.99693287760575389</v>
      </c>
      <c r="K12" s="1663"/>
    </row>
    <row r="13" spans="1:11" ht="22.5" customHeight="1" x14ac:dyDescent="0.25">
      <c r="A13" s="841" t="s">
        <v>8</v>
      </c>
      <c r="B13" s="497" t="s">
        <v>272</v>
      </c>
      <c r="C13" s="843">
        <f>C14</f>
        <v>8203000</v>
      </c>
      <c r="D13" s="843">
        <f>D14</f>
        <v>8203000</v>
      </c>
      <c r="E13" s="844">
        <f>E14</f>
        <v>8177840.3949999996</v>
      </c>
      <c r="F13" s="844">
        <f t="shared" ref="F13:G13" si="2">F14</f>
        <v>6964.8950000000004</v>
      </c>
      <c r="G13" s="844">
        <f t="shared" si="2"/>
        <v>8170875.5</v>
      </c>
      <c r="H13" s="1662">
        <f t="shared" ref="H13:H14" si="3">E13/C13</f>
        <v>0.99693287760575389</v>
      </c>
      <c r="I13" s="1662">
        <f t="shared" ref="I13:I14" si="4">E13/D13</f>
        <v>0.99693287760575389</v>
      </c>
    </row>
    <row r="14" spans="1:11" ht="22.5" customHeight="1" x14ac:dyDescent="0.25">
      <c r="A14" s="841" t="s">
        <v>534</v>
      </c>
      <c r="B14" s="497" t="s">
        <v>1017</v>
      </c>
      <c r="C14" s="843">
        <v>8203000</v>
      </c>
      <c r="D14" s="843">
        <v>8203000</v>
      </c>
      <c r="E14" s="844">
        <f>F14+G14</f>
        <v>8177840.3949999996</v>
      </c>
      <c r="F14" s="844">
        <v>6964.8950000000004</v>
      </c>
      <c r="G14" s="845">
        <f>8170875.5</f>
        <v>8170875.5</v>
      </c>
      <c r="H14" s="1662">
        <f t="shared" si="3"/>
        <v>0.99693287760575389</v>
      </c>
      <c r="I14" s="1662">
        <f t="shared" si="4"/>
        <v>0.99693287760575389</v>
      </c>
    </row>
    <row r="15" spans="1:11" ht="22.5" customHeight="1" x14ac:dyDescent="0.25">
      <c r="A15" s="841" t="s">
        <v>38</v>
      </c>
      <c r="B15" s="497" t="s">
        <v>264</v>
      </c>
      <c r="C15" s="843"/>
      <c r="D15" s="843"/>
      <c r="E15" s="844">
        <f>F15+G15</f>
        <v>0</v>
      </c>
      <c r="F15" s="844"/>
      <c r="G15" s="845"/>
      <c r="H15" s="1662"/>
      <c r="I15" s="1662"/>
    </row>
    <row r="16" spans="1:11" s="1661" customFormat="1" ht="22.5" customHeight="1" x14ac:dyDescent="0.25">
      <c r="A16" s="1657">
        <v>2</v>
      </c>
      <c r="B16" s="502" t="s">
        <v>1018</v>
      </c>
      <c r="C16" s="1658">
        <f>C17+C18</f>
        <v>4265000</v>
      </c>
      <c r="D16" s="1658">
        <f>D17+D18</f>
        <v>4265000</v>
      </c>
      <c r="E16" s="1659">
        <f>E17+E18</f>
        <v>4272272.193</v>
      </c>
      <c r="F16" s="1659">
        <f>F17+F18</f>
        <v>0</v>
      </c>
      <c r="G16" s="1659">
        <f>G17+G18</f>
        <v>4272272.193</v>
      </c>
      <c r="H16" s="1660">
        <f>E16/C16</f>
        <v>1.0017050862837045</v>
      </c>
      <c r="I16" s="1660">
        <f>E16/D16</f>
        <v>1.0017050862837045</v>
      </c>
    </row>
    <row r="17" spans="1:9" ht="22.5" customHeight="1" x14ac:dyDescent="0.25">
      <c r="A17" s="841" t="s">
        <v>8</v>
      </c>
      <c r="B17" s="497" t="s">
        <v>272</v>
      </c>
      <c r="C17" s="843"/>
      <c r="D17" s="843"/>
      <c r="E17" s="844"/>
      <c r="F17" s="844"/>
      <c r="G17" s="844"/>
      <c r="H17" s="844"/>
      <c r="I17" s="1662"/>
    </row>
    <row r="18" spans="1:9" ht="22.5" customHeight="1" x14ac:dyDescent="0.25">
      <c r="A18" s="841" t="s">
        <v>38</v>
      </c>
      <c r="B18" s="497" t="s">
        <v>264</v>
      </c>
      <c r="C18" s="843">
        <v>4265000</v>
      </c>
      <c r="D18" s="843">
        <v>4265000</v>
      </c>
      <c r="E18" s="844">
        <f>F18+G18</f>
        <v>4272272.193</v>
      </c>
      <c r="F18" s="844"/>
      <c r="G18" s="1734">
        <f>4224885.477+47386.716</f>
        <v>4272272.193</v>
      </c>
      <c r="H18" s="1662">
        <f>E18/C18</f>
        <v>1.0017050862837045</v>
      </c>
      <c r="I18" s="1662">
        <f>E18/D18</f>
        <v>1.0017050862837045</v>
      </c>
    </row>
    <row r="19" spans="1:9" s="1661" customFormat="1" ht="22.5" customHeight="1" x14ac:dyDescent="0.25">
      <c r="A19" s="1657">
        <v>3</v>
      </c>
      <c r="B19" s="502" t="s">
        <v>27</v>
      </c>
      <c r="C19" s="1658">
        <f>C30+C31</f>
        <v>0</v>
      </c>
      <c r="D19" s="1658">
        <f>D30+D31</f>
        <v>0</v>
      </c>
      <c r="E19" s="1659">
        <f>E20+E22</f>
        <v>3887900</v>
      </c>
      <c r="F19" s="1659">
        <f t="shared" ref="F19:G19" si="5">F20+F22</f>
        <v>0</v>
      </c>
      <c r="G19" s="1659">
        <f t="shared" si="5"/>
        <v>3887900</v>
      </c>
      <c r="H19" s="1659"/>
      <c r="I19" s="1660"/>
    </row>
    <row r="20" spans="1:9" ht="22.5" customHeight="1" x14ac:dyDescent="0.25">
      <c r="A20" s="841" t="s">
        <v>319</v>
      </c>
      <c r="B20" s="497" t="s">
        <v>272</v>
      </c>
      <c r="C20" s="843"/>
      <c r="D20" s="843"/>
      <c r="E20" s="844">
        <f>F20+G20</f>
        <v>1482000</v>
      </c>
      <c r="F20" s="844">
        <f>F21</f>
        <v>0</v>
      </c>
      <c r="G20" s="844">
        <f>G21</f>
        <v>1482000</v>
      </c>
      <c r="H20" s="1662"/>
      <c r="I20" s="1662"/>
    </row>
    <row r="21" spans="1:9" ht="22.5" customHeight="1" x14ac:dyDescent="0.25">
      <c r="A21" s="841" t="s">
        <v>534</v>
      </c>
      <c r="B21" s="497" t="s">
        <v>1017</v>
      </c>
      <c r="C21" s="843"/>
      <c r="D21" s="843"/>
      <c r="E21" s="844">
        <f>F21+G21</f>
        <v>1482000</v>
      </c>
      <c r="F21" s="844"/>
      <c r="G21" s="845">
        <v>1482000</v>
      </c>
      <c r="H21" s="1662"/>
      <c r="I21" s="1662"/>
    </row>
    <row r="22" spans="1:9" ht="22.5" customHeight="1" x14ac:dyDescent="0.25">
      <c r="A22" s="841" t="s">
        <v>596</v>
      </c>
      <c r="B22" s="497" t="s">
        <v>264</v>
      </c>
      <c r="C22" s="843"/>
      <c r="D22" s="843"/>
      <c r="E22" s="844">
        <f>E23+E24</f>
        <v>2405900</v>
      </c>
      <c r="F22" s="844">
        <f t="shared" ref="F22:G22" si="6">F23+F24</f>
        <v>0</v>
      </c>
      <c r="G22" s="844">
        <f t="shared" si="6"/>
        <v>2405900</v>
      </c>
      <c r="H22" s="844"/>
      <c r="I22" s="1662"/>
    </row>
    <row r="23" spans="1:9" ht="22.5" customHeight="1" x14ac:dyDescent="0.25">
      <c r="A23" s="841" t="s">
        <v>534</v>
      </c>
      <c r="B23" s="497" t="s">
        <v>1020</v>
      </c>
      <c r="C23" s="843"/>
      <c r="D23" s="843"/>
      <c r="E23" s="844">
        <f>F23+G23</f>
        <v>1335200</v>
      </c>
      <c r="F23" s="844"/>
      <c r="G23" s="845">
        <f>747200+588000</f>
        <v>1335200</v>
      </c>
      <c r="H23" s="1662"/>
      <c r="I23" s="1662"/>
    </row>
    <row r="24" spans="1:9" ht="22.5" customHeight="1" x14ac:dyDescent="0.25">
      <c r="A24" s="841" t="s">
        <v>534</v>
      </c>
      <c r="B24" s="497" t="s">
        <v>439</v>
      </c>
      <c r="C24" s="843"/>
      <c r="D24" s="843"/>
      <c r="E24" s="844">
        <f>F24+G24</f>
        <v>1070700</v>
      </c>
      <c r="F24" s="844"/>
      <c r="G24" s="1734">
        <f>694146.4+376553.6</f>
        <v>1070700</v>
      </c>
      <c r="H24" s="1662"/>
      <c r="I24" s="1662"/>
    </row>
    <row r="25" spans="1:9" s="1661" customFormat="1" ht="42.75" customHeight="1" x14ac:dyDescent="0.25">
      <c r="A25" s="1657">
        <v>4</v>
      </c>
      <c r="B25" s="502" t="s">
        <v>1021</v>
      </c>
      <c r="C25" s="1658"/>
      <c r="D25" s="1658"/>
      <c r="E25" s="1659">
        <f>E26+E28</f>
        <v>54000</v>
      </c>
      <c r="F25" s="1659">
        <f t="shared" ref="F25" si="7">F26+F28</f>
        <v>54000</v>
      </c>
      <c r="G25" s="1659">
        <f t="shared" ref="G25" si="8">G26+G28</f>
        <v>0</v>
      </c>
      <c r="H25" s="1659"/>
      <c r="I25" s="1660"/>
    </row>
    <row r="26" spans="1:9" ht="22.5" customHeight="1" x14ac:dyDescent="0.25">
      <c r="A26" s="841" t="s">
        <v>352</v>
      </c>
      <c r="B26" s="497" t="s">
        <v>1022</v>
      </c>
      <c r="C26" s="843"/>
      <c r="D26" s="843"/>
      <c r="E26" s="844">
        <f>F26+G26</f>
        <v>54000</v>
      </c>
      <c r="F26" s="844">
        <f>F27</f>
        <v>54000</v>
      </c>
      <c r="G26" s="844">
        <f>G27</f>
        <v>0</v>
      </c>
      <c r="H26" s="1662"/>
      <c r="I26" s="1662"/>
    </row>
    <row r="27" spans="1:9" ht="30.75" customHeight="1" x14ac:dyDescent="0.25">
      <c r="A27" s="841" t="s">
        <v>534</v>
      </c>
      <c r="B27" s="497" t="s">
        <v>1023</v>
      </c>
      <c r="C27" s="843"/>
      <c r="D27" s="843"/>
      <c r="E27" s="844">
        <f>F27+G27</f>
        <v>54000</v>
      </c>
      <c r="F27" s="844">
        <v>54000</v>
      </c>
      <c r="G27" s="845"/>
      <c r="H27" s="1662"/>
      <c r="I27" s="1662"/>
    </row>
    <row r="28" spans="1:9" ht="22.5" customHeight="1" x14ac:dyDescent="0.25">
      <c r="A28" s="841" t="s">
        <v>38</v>
      </c>
      <c r="B28" s="497" t="s">
        <v>264</v>
      </c>
      <c r="C28" s="843"/>
      <c r="D28" s="843"/>
      <c r="E28" s="844"/>
      <c r="F28" s="844"/>
      <c r="G28" s="844"/>
      <c r="H28" s="844"/>
      <c r="I28" s="1662"/>
    </row>
    <row r="29" spans="1:9" s="156" customFormat="1" ht="80.25" customHeight="1" x14ac:dyDescent="0.2">
      <c r="A29" s="826">
        <v>1</v>
      </c>
      <c r="B29" s="536" t="s">
        <v>1019</v>
      </c>
      <c r="C29" s="828">
        <v>12468000</v>
      </c>
      <c r="D29" s="828">
        <v>12468000</v>
      </c>
      <c r="E29" s="828">
        <f>SUM(E30:E31)</f>
        <v>14910012.588</v>
      </c>
      <c r="F29" s="828">
        <f t="shared" ref="F29:G29" si="9">SUM(F30:F31)</f>
        <v>54000</v>
      </c>
      <c r="G29" s="828">
        <f t="shared" si="9"/>
        <v>14856012.588</v>
      </c>
      <c r="H29" s="829"/>
      <c r="I29" s="829"/>
    </row>
    <row r="30" spans="1:9" x14ac:dyDescent="0.25">
      <c r="A30" s="404" t="s">
        <v>8</v>
      </c>
      <c r="B30" s="329" t="s">
        <v>110</v>
      </c>
      <c r="C30" s="698"/>
      <c r="D30" s="698"/>
      <c r="E30" s="830">
        <f>F30+G30</f>
        <v>10258943.977</v>
      </c>
      <c r="F30" s="830"/>
      <c r="G30" s="831">
        <f>'55N'!E9-1482000</f>
        <v>10258943.977</v>
      </c>
      <c r="H30" s="832"/>
      <c r="I30" s="832"/>
    </row>
    <row r="31" spans="1:9" ht="16.5" customHeight="1" x14ac:dyDescent="0.25">
      <c r="A31" s="404" t="s">
        <v>38</v>
      </c>
      <c r="B31" s="329" t="s">
        <v>81</v>
      </c>
      <c r="C31" s="698"/>
      <c r="D31" s="698"/>
      <c r="E31" s="830">
        <f>F31+G31</f>
        <v>4651068.6109999996</v>
      </c>
      <c r="F31" s="830">
        <v>54000</v>
      </c>
      <c r="G31" s="831">
        <f>'55N'!M9-F31</f>
        <v>4597068.6109999996</v>
      </c>
      <c r="H31" s="832"/>
      <c r="I31" s="832"/>
    </row>
    <row r="32" spans="1:9" s="156" customFormat="1" ht="102" hidden="1" customHeight="1" x14ac:dyDescent="0.2">
      <c r="A32" s="833">
        <v>2</v>
      </c>
      <c r="B32" s="1570" t="s">
        <v>942</v>
      </c>
      <c r="C32" s="835"/>
      <c r="D32" s="835"/>
      <c r="E32" s="816"/>
      <c r="F32" s="816"/>
      <c r="G32" s="836"/>
      <c r="H32" s="832"/>
      <c r="I32" s="832"/>
    </row>
    <row r="33" spans="1:9" s="156" customFormat="1" ht="63.75" hidden="1" customHeight="1" x14ac:dyDescent="0.2">
      <c r="A33" s="379">
        <v>3</v>
      </c>
      <c r="B33" s="1570" t="s">
        <v>943</v>
      </c>
      <c r="C33" s="522"/>
      <c r="D33" s="522"/>
      <c r="E33" s="816"/>
      <c r="F33" s="966"/>
      <c r="G33" s="838"/>
      <c r="H33" s="839"/>
      <c r="I33" s="839"/>
    </row>
    <row r="34" spans="1:9" s="156" customFormat="1" ht="21" customHeight="1" x14ac:dyDescent="0.2">
      <c r="A34" s="379">
        <v>2</v>
      </c>
      <c r="B34" s="1571" t="s">
        <v>27</v>
      </c>
      <c r="C34" s="522"/>
      <c r="D34" s="522"/>
      <c r="E34" s="816">
        <f>SUM(G34:G34)</f>
        <v>1482000</v>
      </c>
      <c r="F34" s="966"/>
      <c r="G34" s="838">
        <v>1482000</v>
      </c>
      <c r="H34" s="839"/>
      <c r="I34" s="839"/>
    </row>
    <row r="35" spans="1:9" s="156" customFormat="1" ht="19.5" customHeight="1" x14ac:dyDescent="0.2">
      <c r="A35" s="822" t="s">
        <v>12</v>
      </c>
      <c r="B35" s="825" t="s">
        <v>944</v>
      </c>
      <c r="C35" s="823"/>
      <c r="D35" s="823"/>
      <c r="E35" s="823"/>
      <c r="F35" s="823"/>
      <c r="G35" s="823"/>
      <c r="H35" s="840"/>
      <c r="I35" s="840"/>
    </row>
    <row r="36" spans="1:9" s="156" customFormat="1" ht="19.5" customHeight="1" x14ac:dyDescent="0.2">
      <c r="A36" s="822" t="s">
        <v>19</v>
      </c>
      <c r="B36" s="825" t="s">
        <v>30</v>
      </c>
      <c r="C36" s="823">
        <f>SUM(C37:C52)</f>
        <v>119073000</v>
      </c>
      <c r="D36" s="823">
        <f t="shared" ref="D36:G36" si="10">SUM(D37:D52)</f>
        <v>119073000</v>
      </c>
      <c r="E36" s="823">
        <f t="shared" si="10"/>
        <v>137912348.914</v>
      </c>
      <c r="F36" s="823">
        <f t="shared" si="10"/>
        <v>1697863.93</v>
      </c>
      <c r="G36" s="823">
        <f t="shared" si="10"/>
        <v>136214484.984</v>
      </c>
      <c r="H36" s="840">
        <f>E36/C36</f>
        <v>1.1582167990560412</v>
      </c>
      <c r="I36" s="840">
        <f>E36/D36</f>
        <v>1.1582167990560412</v>
      </c>
    </row>
    <row r="37" spans="1:9" x14ac:dyDescent="0.25">
      <c r="A37" s="1572">
        <v>1</v>
      </c>
      <c r="B37" s="1573" t="s">
        <v>68</v>
      </c>
      <c r="C37" s="1574"/>
      <c r="D37" s="1574">
        <v>1490579</v>
      </c>
      <c r="E37" s="830">
        <f t="shared" ref="E37:E52" si="11">SUM(F37:G37)</f>
        <v>1477056.682</v>
      </c>
      <c r="F37" s="1575"/>
      <c r="G37" s="1576">
        <f>'56N'!F8</f>
        <v>1477056.682</v>
      </c>
      <c r="H37" s="1577"/>
      <c r="I37" s="847">
        <f>E37/D37</f>
        <v>0.99092814402993734</v>
      </c>
    </row>
    <row r="38" spans="1:9" x14ac:dyDescent="0.25">
      <c r="A38" s="404">
        <v>2</v>
      </c>
      <c r="B38" s="329" t="s">
        <v>79</v>
      </c>
      <c r="C38" s="698"/>
      <c r="D38" s="698">
        <v>712980</v>
      </c>
      <c r="E38" s="830">
        <f t="shared" si="11"/>
        <v>641445</v>
      </c>
      <c r="F38" s="830"/>
      <c r="G38" s="831">
        <f>'56N'!G8</f>
        <v>641445</v>
      </c>
      <c r="H38" s="832"/>
      <c r="I38" s="847">
        <f>E38/D38</f>
        <v>0.89966759235883198</v>
      </c>
    </row>
    <row r="39" spans="1:9" x14ac:dyDescent="0.25">
      <c r="A39" s="404">
        <v>3</v>
      </c>
      <c r="B39" s="329" t="s">
        <v>110</v>
      </c>
      <c r="C39" s="698">
        <v>68911300</v>
      </c>
      <c r="D39" s="698">
        <v>68911319</v>
      </c>
      <c r="E39" s="830">
        <f t="shared" si="11"/>
        <v>75608229.204999998</v>
      </c>
      <c r="F39" s="830"/>
      <c r="G39" s="831">
        <f>'56N'!E8</f>
        <v>75608229.204999998</v>
      </c>
      <c r="H39" s="847">
        <f>E39/C39</f>
        <v>1.0971818730019605</v>
      </c>
      <c r="I39" s="847">
        <f>E39/D39</f>
        <v>1.0971815704906185</v>
      </c>
    </row>
    <row r="40" spans="1:9" x14ac:dyDescent="0.25">
      <c r="A40" s="404">
        <v>4</v>
      </c>
      <c r="B40" s="329" t="s">
        <v>111</v>
      </c>
      <c r="C40" s="850"/>
      <c r="D40" s="698"/>
      <c r="E40" s="830">
        <f t="shared" si="11"/>
        <v>0</v>
      </c>
      <c r="F40" s="830"/>
      <c r="G40" s="831"/>
      <c r="H40" s="832"/>
      <c r="I40" s="832"/>
    </row>
    <row r="41" spans="1:9" ht="15.75" customHeight="1" x14ac:dyDescent="0.25">
      <c r="A41" s="404">
        <v>5</v>
      </c>
      <c r="B41" s="329" t="s">
        <v>320</v>
      </c>
      <c r="C41" s="698">
        <f>45468700+997000</f>
        <v>46465700</v>
      </c>
      <c r="D41" s="698">
        <v>12382270.530000001</v>
      </c>
      <c r="E41" s="830">
        <f t="shared" si="11"/>
        <v>0</v>
      </c>
      <c r="F41" s="848"/>
      <c r="G41" s="831"/>
      <c r="H41" s="832"/>
      <c r="I41" s="832"/>
    </row>
    <row r="42" spans="1:9" x14ac:dyDescent="0.25">
      <c r="A42" s="404">
        <v>6</v>
      </c>
      <c r="B42" s="329" t="s">
        <v>404</v>
      </c>
      <c r="C42" s="843"/>
      <c r="D42" s="698">
        <v>809664.92</v>
      </c>
      <c r="E42" s="830">
        <f t="shared" si="11"/>
        <v>708894.19699999993</v>
      </c>
      <c r="F42" s="848"/>
      <c r="G42" s="831">
        <f>'56N'!I8</f>
        <v>708894.19699999993</v>
      </c>
      <c r="H42" s="832"/>
      <c r="I42" s="847">
        <f>E42/D42</f>
        <v>0.87554021359848455</v>
      </c>
    </row>
    <row r="43" spans="1:9" x14ac:dyDescent="0.25">
      <c r="A43" s="404">
        <v>7</v>
      </c>
      <c r="B43" s="329" t="s">
        <v>112</v>
      </c>
      <c r="C43" s="698"/>
      <c r="D43" s="698">
        <v>85000</v>
      </c>
      <c r="E43" s="830">
        <f t="shared" si="11"/>
        <v>84375.793000000005</v>
      </c>
      <c r="F43" s="830"/>
      <c r="G43" s="831">
        <f>'56N'!J8</f>
        <v>84375.793000000005</v>
      </c>
      <c r="H43" s="832"/>
      <c r="I43" s="847">
        <f>E43/D43</f>
        <v>0.99265638823529423</v>
      </c>
    </row>
    <row r="44" spans="1:9" x14ac:dyDescent="0.25">
      <c r="A44" s="404">
        <v>8</v>
      </c>
      <c r="B44" s="329" t="s">
        <v>113</v>
      </c>
      <c r="C44" s="698"/>
      <c r="D44" s="698">
        <v>101335</v>
      </c>
      <c r="E44" s="830">
        <f t="shared" si="11"/>
        <v>307750</v>
      </c>
      <c r="F44" s="830"/>
      <c r="G44" s="831">
        <f>'56N'!K8</f>
        <v>307750</v>
      </c>
      <c r="H44" s="832"/>
      <c r="I44" s="847">
        <f>E44/D44</f>
        <v>3.0369566290028125</v>
      </c>
    </row>
    <row r="45" spans="1:9" x14ac:dyDescent="0.25">
      <c r="A45" s="404">
        <v>9</v>
      </c>
      <c r="B45" s="329" t="s">
        <v>114</v>
      </c>
      <c r="C45" s="698"/>
      <c r="D45" s="698"/>
      <c r="E45" s="830">
        <f t="shared" si="11"/>
        <v>0</v>
      </c>
      <c r="F45" s="830"/>
      <c r="G45" s="831"/>
      <c r="H45" s="832"/>
      <c r="I45" s="832"/>
    </row>
    <row r="46" spans="1:9" x14ac:dyDescent="0.25">
      <c r="A46" s="404">
        <v>10</v>
      </c>
      <c r="B46" s="329" t="s">
        <v>81</v>
      </c>
      <c r="C46" s="698"/>
      <c r="D46" s="830">
        <v>381712</v>
      </c>
      <c r="E46" s="830">
        <f>SUM(F46:G46)</f>
        <v>2951918.4070000001</v>
      </c>
      <c r="F46" s="830">
        <v>270862</v>
      </c>
      <c r="G46" s="831">
        <f>'56N'!M8-F46</f>
        <v>2681056.4070000001</v>
      </c>
      <c r="H46" s="832"/>
      <c r="I46" s="847">
        <f>E46/D46</f>
        <v>7.7333654875927405</v>
      </c>
    </row>
    <row r="47" spans="1:9" ht="30" x14ac:dyDescent="0.25">
      <c r="A47" s="404">
        <v>11</v>
      </c>
      <c r="B47" s="329" t="s">
        <v>34</v>
      </c>
      <c r="C47" s="698"/>
      <c r="D47" s="698">
        <v>28564139.550000001</v>
      </c>
      <c r="E47" s="830">
        <f t="shared" si="11"/>
        <v>49353481.030000001</v>
      </c>
      <c r="F47" s="830"/>
      <c r="G47" s="831">
        <f>'56N'!P8</f>
        <v>49353481.030000001</v>
      </c>
      <c r="H47" s="832"/>
      <c r="I47" s="847">
        <f>E47/D47</f>
        <v>1.7278126282645192</v>
      </c>
    </row>
    <row r="48" spans="1:9" x14ac:dyDescent="0.25">
      <c r="A48" s="404">
        <v>12</v>
      </c>
      <c r="B48" s="329" t="s">
        <v>115</v>
      </c>
      <c r="C48" s="698"/>
      <c r="D48" s="698">
        <v>1938000</v>
      </c>
      <c r="E48" s="830">
        <f t="shared" si="11"/>
        <v>6716588.5999999996</v>
      </c>
      <c r="F48" s="830">
        <v>1427001.93</v>
      </c>
      <c r="G48" s="831">
        <f>'56N'!Q8-F48</f>
        <v>5289586.67</v>
      </c>
      <c r="H48" s="832"/>
      <c r="I48" s="847">
        <f>E48/D48</f>
        <v>3.4657319917440659</v>
      </c>
    </row>
    <row r="49" spans="1:12" x14ac:dyDescent="0.25">
      <c r="A49" s="404">
        <v>13</v>
      </c>
      <c r="B49" s="329" t="s">
        <v>72</v>
      </c>
      <c r="C49" s="698"/>
      <c r="D49" s="1578"/>
      <c r="E49" s="830">
        <f t="shared" si="11"/>
        <v>62610</v>
      </c>
      <c r="F49" s="830"/>
      <c r="G49" s="831">
        <f>'56N'!R8</f>
        <v>62610</v>
      </c>
      <c r="H49" s="832"/>
      <c r="I49" s="832"/>
    </row>
    <row r="50" spans="1:12" x14ac:dyDescent="0.25">
      <c r="A50" s="404">
        <v>14</v>
      </c>
      <c r="B50" s="329" t="s">
        <v>399</v>
      </c>
      <c r="C50" s="698">
        <v>722000</v>
      </c>
      <c r="D50" s="698">
        <v>722000</v>
      </c>
      <c r="E50" s="830">
        <f t="shared" si="11"/>
        <v>0</v>
      </c>
      <c r="F50" s="830"/>
      <c r="G50" s="831"/>
      <c r="H50" s="832"/>
      <c r="I50" s="832"/>
    </row>
    <row r="51" spans="1:12" s="156" customFormat="1" x14ac:dyDescent="0.2">
      <c r="A51" s="404">
        <v>15</v>
      </c>
      <c r="B51" s="329" t="s">
        <v>286</v>
      </c>
      <c r="C51" s="698">
        <v>2974000</v>
      </c>
      <c r="D51" s="698">
        <v>2974000</v>
      </c>
      <c r="E51" s="830">
        <f t="shared" si="11"/>
        <v>0</v>
      </c>
      <c r="F51" s="830"/>
      <c r="G51" s="836"/>
      <c r="H51" s="1579"/>
      <c r="I51" s="1579"/>
    </row>
    <row r="52" spans="1:12" s="156" customFormat="1" x14ac:dyDescent="0.2">
      <c r="A52" s="405">
        <v>16</v>
      </c>
      <c r="B52" s="1050" t="s">
        <v>406</v>
      </c>
      <c r="C52" s="1580"/>
      <c r="D52" s="1580"/>
      <c r="E52" s="830">
        <f t="shared" si="11"/>
        <v>0</v>
      </c>
      <c r="F52" s="1581"/>
      <c r="G52" s="1582"/>
      <c r="H52" s="1583"/>
      <c r="I52" s="1583"/>
    </row>
    <row r="53" spans="1:12" s="775" customFormat="1" ht="19.5" customHeight="1" x14ac:dyDescent="0.2">
      <c r="A53" s="853" t="s">
        <v>19</v>
      </c>
      <c r="B53" s="854" t="s">
        <v>117</v>
      </c>
      <c r="C53" s="855"/>
      <c r="D53" s="855"/>
      <c r="E53" s="855">
        <f t="shared" ref="E53:E54" si="12">SUM(G53:G53)</f>
        <v>24187211.725000001</v>
      </c>
      <c r="F53" s="824"/>
      <c r="G53" s="856">
        <f>'58N'!P10</f>
        <v>24187211.725000001</v>
      </c>
      <c r="H53" s="857"/>
      <c r="I53" s="857"/>
    </row>
    <row r="54" spans="1:12" s="775" customFormat="1" ht="46.5" customHeight="1" x14ac:dyDescent="0.2">
      <c r="A54" s="853" t="s">
        <v>20</v>
      </c>
      <c r="B54" s="1584" t="s">
        <v>945</v>
      </c>
      <c r="C54" s="855"/>
      <c r="D54" s="855"/>
      <c r="E54" s="855">
        <f t="shared" si="12"/>
        <v>50000</v>
      </c>
      <c r="F54" s="824"/>
      <c r="G54" s="856">
        <f>'58N'!Q10</f>
        <v>50000</v>
      </c>
      <c r="H54" s="857"/>
      <c r="I54" s="857"/>
    </row>
    <row r="55" spans="1:12" ht="30.75" hidden="1" customHeight="1" x14ac:dyDescent="0.25">
      <c r="A55" s="858" t="s">
        <v>5</v>
      </c>
      <c r="B55" s="859" t="s">
        <v>118</v>
      </c>
      <c r="C55" s="860"/>
      <c r="D55" s="860"/>
      <c r="E55" s="855"/>
      <c r="F55" s="824"/>
      <c r="G55" s="861"/>
      <c r="H55" s="862"/>
      <c r="I55" s="863"/>
    </row>
    <row r="56" spans="1:12" hidden="1" x14ac:dyDescent="0.25">
      <c r="A56" s="841">
        <v>1</v>
      </c>
      <c r="B56" s="842" t="s">
        <v>119</v>
      </c>
      <c r="C56" s="843"/>
      <c r="D56" s="843"/>
      <c r="E56" s="844"/>
      <c r="F56" s="844"/>
      <c r="G56" s="845"/>
      <c r="H56" s="846"/>
      <c r="I56" s="846"/>
    </row>
    <row r="57" spans="1:12" hidden="1" x14ac:dyDescent="0.25">
      <c r="A57" s="404">
        <v>2</v>
      </c>
      <c r="B57" s="329" t="s">
        <v>101</v>
      </c>
      <c r="C57" s="698"/>
      <c r="D57" s="698"/>
      <c r="E57" s="844"/>
      <c r="F57" s="844"/>
      <c r="G57" s="831"/>
      <c r="H57" s="832"/>
      <c r="I57" s="846"/>
    </row>
    <row r="58" spans="1:12" hidden="1" x14ac:dyDescent="0.25">
      <c r="A58" s="404"/>
      <c r="B58" s="329" t="s">
        <v>120</v>
      </c>
      <c r="C58" s="698"/>
      <c r="D58" s="698"/>
      <c r="E58" s="844"/>
      <c r="F58" s="844"/>
      <c r="G58" s="831"/>
      <c r="H58" s="832"/>
      <c r="I58" s="846"/>
    </row>
    <row r="59" spans="1:12" hidden="1" x14ac:dyDescent="0.25">
      <c r="A59" s="864"/>
      <c r="B59" s="865" t="s">
        <v>121</v>
      </c>
      <c r="C59" s="850"/>
      <c r="D59" s="850"/>
      <c r="E59" s="866"/>
      <c r="F59" s="866"/>
      <c r="G59" s="851"/>
      <c r="H59" s="852"/>
      <c r="I59" s="852"/>
    </row>
    <row r="60" spans="1:12" s="428" customFormat="1" ht="20.100000000000001" customHeight="1" x14ac:dyDescent="0.25">
      <c r="A60" s="867" t="s">
        <v>5</v>
      </c>
      <c r="B60" s="868" t="s">
        <v>122</v>
      </c>
      <c r="C60" s="869"/>
      <c r="D60" s="869"/>
      <c r="E60" s="824">
        <f>SUM(G60:G60)</f>
        <v>104011.51</v>
      </c>
      <c r="F60" s="824"/>
      <c r="G60" s="870">
        <f>'58N'!R11</f>
        <v>104011.51</v>
      </c>
      <c r="H60" s="871"/>
      <c r="I60" s="871"/>
    </row>
    <row r="61" spans="1:12" s="428" customFormat="1" ht="20.100000000000001" customHeight="1" x14ac:dyDescent="0.25">
      <c r="A61" s="867"/>
      <c r="B61" s="867" t="s">
        <v>517</v>
      </c>
      <c r="C61" s="824">
        <f>C9+C60</f>
        <v>131541000</v>
      </c>
      <c r="D61" s="824">
        <f>D9+D60</f>
        <v>131541000</v>
      </c>
      <c r="E61" s="824">
        <f>E9+E60</f>
        <v>178645584.73699999</v>
      </c>
      <c r="F61" s="824">
        <f>F9+F60</f>
        <v>1751863.93</v>
      </c>
      <c r="G61" s="824">
        <f>G9+G60</f>
        <v>176893720.80699998</v>
      </c>
      <c r="H61" s="1588">
        <f>E61/C61</f>
        <v>1.3580981194988633</v>
      </c>
      <c r="I61" s="1588">
        <f>E61/D61</f>
        <v>1.3580981194988633</v>
      </c>
      <c r="K61" s="1731"/>
    </row>
    <row r="62" spans="1:12" ht="14.25" customHeight="1" x14ac:dyDescent="0.25">
      <c r="A62" s="12"/>
    </row>
    <row r="63" spans="1:12" customFormat="1" ht="15.75" hidden="1" customHeight="1" x14ac:dyDescent="0.25">
      <c r="A63" s="1843" t="s">
        <v>457</v>
      </c>
      <c r="B63" s="1843"/>
      <c r="C63" s="1843"/>
      <c r="D63" s="1843"/>
      <c r="E63" s="1843"/>
      <c r="F63" s="1843" t="s">
        <v>940</v>
      </c>
      <c r="G63" s="1843"/>
      <c r="H63" s="1843"/>
      <c r="I63" s="1843"/>
      <c r="J63" s="164"/>
      <c r="K63" s="164"/>
      <c r="L63" s="164"/>
    </row>
    <row r="64" spans="1:12" customFormat="1" ht="15.75" hidden="1" customHeight="1" x14ac:dyDescent="0.25">
      <c r="A64" s="1775" t="s">
        <v>462</v>
      </c>
      <c r="B64" s="1775"/>
      <c r="C64" s="1763" t="s">
        <v>461</v>
      </c>
      <c r="D64" s="1763"/>
      <c r="E64" s="1763"/>
      <c r="F64" s="1775" t="s">
        <v>458</v>
      </c>
      <c r="G64" s="1775"/>
      <c r="H64" s="1775"/>
      <c r="I64" s="1775"/>
      <c r="J64" s="1586"/>
      <c r="K64" s="1586"/>
      <c r="L64" s="1586"/>
    </row>
    <row r="65" spans="1:12" customFormat="1" ht="15.75" hidden="1" customHeight="1" x14ac:dyDescent="0.25">
      <c r="A65" s="1843" t="s">
        <v>14</v>
      </c>
      <c r="B65" s="1843"/>
      <c r="C65" s="1852" t="s">
        <v>378</v>
      </c>
      <c r="D65" s="1852"/>
      <c r="E65" s="1852"/>
      <c r="F65" s="1852" t="s">
        <v>271</v>
      </c>
      <c r="G65" s="1852"/>
      <c r="H65" s="1852"/>
      <c r="I65" s="1852"/>
      <c r="J65" s="1585"/>
      <c r="K65" s="1585"/>
      <c r="L65" s="1585"/>
    </row>
    <row r="66" spans="1:12" customFormat="1" ht="15.75" hidden="1" x14ac:dyDescent="0.25">
      <c r="A66" s="1550"/>
      <c r="B66" s="1550"/>
      <c r="C66" s="1545"/>
      <c r="D66" s="1545"/>
      <c r="E66" s="87"/>
      <c r="F66" s="373"/>
      <c r="G66" s="373"/>
      <c r="H66" s="373"/>
      <c r="I66" s="374"/>
    </row>
    <row r="67" spans="1:12" customFormat="1" ht="15.75" hidden="1" x14ac:dyDescent="0.25">
      <c r="A67" s="1550"/>
      <c r="B67" s="1550"/>
      <c r="C67" s="1545"/>
      <c r="D67" s="1545"/>
      <c r="E67" s="87"/>
      <c r="F67" s="373"/>
      <c r="G67" s="373"/>
      <c r="H67" s="373"/>
      <c r="I67" s="374"/>
    </row>
    <row r="68" spans="1:12" customFormat="1" ht="15.75" hidden="1" x14ac:dyDescent="0.25">
      <c r="C68" s="87"/>
      <c r="D68" s="87"/>
      <c r="E68" s="87"/>
      <c r="F68" s="373"/>
      <c r="G68" s="373"/>
      <c r="H68" s="373"/>
      <c r="I68" s="374"/>
    </row>
    <row r="69" spans="1:12" customFormat="1" ht="15.75" hidden="1" x14ac:dyDescent="0.25">
      <c r="C69" s="1858"/>
      <c r="D69" s="1858"/>
      <c r="E69" s="1858"/>
      <c r="F69" s="375"/>
      <c r="G69" s="375"/>
      <c r="H69" s="375"/>
      <c r="I69" s="374"/>
    </row>
    <row r="70" spans="1:12" customFormat="1" ht="15.75" hidden="1" x14ac:dyDescent="0.25">
      <c r="C70" s="87"/>
      <c r="D70" s="87"/>
      <c r="E70" s="87"/>
      <c r="F70" s="373"/>
      <c r="G70" s="373"/>
      <c r="H70" s="373"/>
      <c r="I70" s="374"/>
    </row>
    <row r="71" spans="1:12" customFormat="1" ht="15.75" hidden="1" x14ac:dyDescent="0.25">
      <c r="C71" s="87"/>
      <c r="D71" s="87"/>
      <c r="E71" s="87"/>
      <c r="F71" s="373"/>
      <c r="G71" s="373"/>
      <c r="H71" s="373"/>
      <c r="I71" s="374"/>
    </row>
    <row r="72" spans="1:12" customFormat="1" ht="16.5" hidden="1" x14ac:dyDescent="0.25">
      <c r="C72" s="1858" t="s">
        <v>460</v>
      </c>
      <c r="D72" s="1858"/>
      <c r="E72" s="1858"/>
      <c r="F72" s="1857" t="s">
        <v>459</v>
      </c>
      <c r="G72" s="1857"/>
      <c r="H72" s="1857"/>
      <c r="I72" s="1857"/>
      <c r="J72" s="1587"/>
      <c r="K72" s="1587"/>
      <c r="L72" s="223"/>
    </row>
    <row r="73" spans="1:12" hidden="1" x14ac:dyDescent="0.25"/>
    <row r="74" spans="1:12" hidden="1" x14ac:dyDescent="0.25"/>
    <row r="75" spans="1:12" hidden="1" x14ac:dyDescent="0.25"/>
    <row r="76" spans="1:12" hidden="1" x14ac:dyDescent="0.25"/>
    <row r="77" spans="1:12" hidden="1" x14ac:dyDescent="0.25"/>
    <row r="78" spans="1:12" hidden="1" x14ac:dyDescent="0.25"/>
  </sheetData>
  <mergeCells count="21">
    <mergeCell ref="F63:I63"/>
    <mergeCell ref="F64:I64"/>
    <mergeCell ref="F65:I65"/>
    <mergeCell ref="F72:I72"/>
    <mergeCell ref="A65:B65"/>
    <mergeCell ref="C69:E69"/>
    <mergeCell ref="C65:E65"/>
    <mergeCell ref="C72:E72"/>
    <mergeCell ref="A63:B63"/>
    <mergeCell ref="C63:E63"/>
    <mergeCell ref="A64:B64"/>
    <mergeCell ref="C64:E64"/>
    <mergeCell ref="H1:I1"/>
    <mergeCell ref="A2:I2"/>
    <mergeCell ref="A3:I3"/>
    <mergeCell ref="A5:A7"/>
    <mergeCell ref="B5:B7"/>
    <mergeCell ref="C5:D5"/>
    <mergeCell ref="E5:G5"/>
    <mergeCell ref="H5:I5"/>
    <mergeCell ref="E6:G6"/>
  </mergeCells>
  <printOptions horizontalCentered="1"/>
  <pageMargins left="0.28999999999999998" right="0.19" top="0.54" bottom="0.4" header="0.31496062992126" footer="0.31496062992126"/>
  <pageSetup paperSize="9" firstPageNumber="43" orientation="landscape" useFirstPageNumber="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4"/>
  <sheetViews>
    <sheetView workbookViewId="0">
      <selection activeCell="G16" sqref="G16"/>
    </sheetView>
  </sheetViews>
  <sheetFormatPr defaultRowHeight="12" x14ac:dyDescent="0.25"/>
  <cols>
    <col min="1" max="1" width="8.42578125" style="1530" customWidth="1"/>
    <col min="2" max="2" width="10.7109375" style="1530" customWidth="1"/>
    <col min="3" max="3" width="13.28515625" style="1530" customWidth="1"/>
    <col min="4" max="4" width="6.42578125" style="1595" customWidth="1"/>
    <col min="5" max="7" width="14.140625" style="1530" customWidth="1"/>
    <col min="8" max="8" width="14.28515625" style="1530" customWidth="1"/>
    <col min="9" max="9" width="9.5703125" style="1530" customWidth="1"/>
    <col min="10" max="16384" width="9.140625" style="1530"/>
  </cols>
  <sheetData>
    <row r="1" spans="1:9" s="489" customFormat="1" ht="15" customHeight="1" x14ac:dyDescent="0.25">
      <c r="A1" s="1532" t="str">
        <f>'48N'!A1</f>
        <v>UBND PHƯỜNG ĐỨC XUÂN</v>
      </c>
      <c r="B1" s="1532"/>
      <c r="C1" s="1540"/>
      <c r="D1" s="1591"/>
      <c r="G1" s="1856" t="s">
        <v>946</v>
      </c>
      <c r="H1" s="1856"/>
    </row>
    <row r="2" spans="1:9" s="489" customFormat="1" x14ac:dyDescent="0.25">
      <c r="C2" s="1540"/>
      <c r="D2" s="1591"/>
    </row>
    <row r="3" spans="1:9" s="489" customFormat="1" ht="18" customHeight="1" x14ac:dyDescent="0.25">
      <c r="A3" s="1864" t="s">
        <v>947</v>
      </c>
      <c r="B3" s="1864"/>
      <c r="C3" s="1864"/>
      <c r="D3" s="1864"/>
      <c r="E3" s="1864"/>
      <c r="F3" s="1864"/>
      <c r="G3" s="1864"/>
      <c r="H3" s="1864"/>
    </row>
    <row r="4" spans="1:9" s="489" customFormat="1" ht="15" customHeight="1" x14ac:dyDescent="0.25">
      <c r="A4" s="1865" t="str">
        <f>'48N'!A4:F4</f>
        <v>(Kèm theo Tờ trình số    /TTr-KTHT&amp;ĐT ngày      /4/2026 của phòng KTHT&amp;ĐT phường Đức Xuân)</v>
      </c>
      <c r="B4" s="1865"/>
      <c r="C4" s="1865"/>
      <c r="D4" s="1865"/>
      <c r="E4" s="1865"/>
      <c r="F4" s="1865"/>
      <c r="G4" s="1865"/>
      <c r="H4" s="1865"/>
    </row>
    <row r="5" spans="1:9" ht="20.25" customHeight="1" x14ac:dyDescent="0.25">
      <c r="A5" s="1529"/>
      <c r="B5" s="1529"/>
      <c r="C5" s="1541"/>
      <c r="D5" s="1590"/>
      <c r="E5" s="1529"/>
      <c r="F5" s="1529"/>
      <c r="G5" s="1867" t="s">
        <v>950</v>
      </c>
      <c r="H5" s="1867"/>
      <c r="I5" s="1529"/>
    </row>
    <row r="6" spans="1:9" s="1534" customFormat="1" ht="28.5" customHeight="1" x14ac:dyDescent="0.25">
      <c r="A6" s="1535" t="s">
        <v>948</v>
      </c>
      <c r="B6" s="1535" t="s">
        <v>123</v>
      </c>
      <c r="C6" s="1535" t="s">
        <v>124</v>
      </c>
      <c r="D6" s="1535" t="s">
        <v>125</v>
      </c>
      <c r="E6" s="1535" t="s">
        <v>126</v>
      </c>
      <c r="F6" s="1535" t="s">
        <v>305</v>
      </c>
      <c r="G6" s="1535" t="s">
        <v>127</v>
      </c>
      <c r="H6" s="1535" t="s">
        <v>949</v>
      </c>
    </row>
    <row r="7" spans="1:9" s="1533" customFormat="1" ht="20.25" customHeight="1" x14ac:dyDescent="0.25">
      <c r="A7" s="1872" t="s">
        <v>31</v>
      </c>
      <c r="B7" s="1873"/>
      <c r="C7" s="1531"/>
      <c r="D7" s="1592"/>
      <c r="E7" s="1537">
        <v>244721034602</v>
      </c>
      <c r="F7" s="1537">
        <v>1460879502</v>
      </c>
      <c r="G7" s="1537">
        <v>62867971396</v>
      </c>
      <c r="H7" s="1537">
        <v>180392183704</v>
      </c>
    </row>
    <row r="8" spans="1:9" s="1533" customFormat="1" ht="33.75" customHeight="1" x14ac:dyDescent="0.25">
      <c r="A8" s="1868" t="s">
        <v>887</v>
      </c>
      <c r="B8" s="1869"/>
      <c r="C8" s="1531"/>
      <c r="D8" s="1592"/>
      <c r="E8" s="1537">
        <v>244721034602</v>
      </c>
      <c r="F8" s="1537">
        <v>1460879502</v>
      </c>
      <c r="G8" s="1537">
        <v>62867971396</v>
      </c>
      <c r="H8" s="1537">
        <v>180392183704</v>
      </c>
    </row>
    <row r="9" spans="1:9" s="1533" customFormat="1" ht="28.5" customHeight="1" x14ac:dyDescent="0.25">
      <c r="A9" s="1868" t="s">
        <v>340</v>
      </c>
      <c r="B9" s="1869"/>
      <c r="C9" s="1531"/>
      <c r="D9" s="1592"/>
      <c r="E9" s="1537">
        <v>244721034602</v>
      </c>
      <c r="F9" s="1537">
        <v>1460879502</v>
      </c>
      <c r="G9" s="1537">
        <v>62867971396</v>
      </c>
      <c r="H9" s="1537">
        <v>180392183704</v>
      </c>
    </row>
    <row r="10" spans="1:9" s="1533" customFormat="1" ht="17.25" customHeight="1" x14ac:dyDescent="0.25">
      <c r="A10" s="1536" t="s">
        <v>856</v>
      </c>
      <c r="B10" s="1536"/>
      <c r="C10" s="1531"/>
      <c r="D10" s="1592"/>
      <c r="E10" s="1537">
        <v>453683521</v>
      </c>
      <c r="F10" s="1537">
        <v>413555275</v>
      </c>
      <c r="G10" s="1537">
        <v>40128246</v>
      </c>
      <c r="H10" s="1538">
        <v>0</v>
      </c>
    </row>
    <row r="11" spans="1:9" s="1533" customFormat="1" ht="17.25" customHeight="1" x14ac:dyDescent="0.25">
      <c r="A11" s="1536"/>
      <c r="B11" s="1536" t="s">
        <v>857</v>
      </c>
      <c r="C11" s="1531"/>
      <c r="D11" s="1592"/>
      <c r="E11" s="1537">
        <v>415604321</v>
      </c>
      <c r="F11" s="1537">
        <v>413055275</v>
      </c>
      <c r="G11" s="1537">
        <v>2549046</v>
      </c>
      <c r="H11" s="1538">
        <v>0</v>
      </c>
    </row>
    <row r="12" spans="1:9" s="1533" customFormat="1" ht="17.25" customHeight="1" x14ac:dyDescent="0.25">
      <c r="A12" s="1531"/>
      <c r="B12" s="1531"/>
      <c r="C12" s="1536" t="s">
        <v>858</v>
      </c>
      <c r="D12" s="1589"/>
      <c r="E12" s="1537">
        <v>398396952</v>
      </c>
      <c r="F12" s="1537">
        <v>398396952</v>
      </c>
      <c r="G12" s="1538">
        <v>0</v>
      </c>
      <c r="H12" s="1538">
        <v>0</v>
      </c>
    </row>
    <row r="13" spans="1:9" s="1533" customFormat="1" ht="17.25" customHeight="1" x14ac:dyDescent="0.25">
      <c r="A13" s="1531"/>
      <c r="B13" s="1531"/>
      <c r="C13" s="1536" t="s">
        <v>888</v>
      </c>
      <c r="D13" s="1589"/>
      <c r="E13" s="1537">
        <v>398396952</v>
      </c>
      <c r="F13" s="1537">
        <v>398396952</v>
      </c>
      <c r="G13" s="1538">
        <v>0</v>
      </c>
      <c r="H13" s="1538">
        <v>0</v>
      </c>
    </row>
    <row r="14" spans="1:9" s="1533" customFormat="1" ht="17.25" customHeight="1" x14ac:dyDescent="0.25">
      <c r="A14" s="1531"/>
      <c r="B14" s="1531"/>
      <c r="C14" s="1536" t="s">
        <v>889</v>
      </c>
      <c r="D14" s="1589"/>
      <c r="E14" s="1537">
        <v>20446671</v>
      </c>
      <c r="F14" s="1537">
        <v>20446671</v>
      </c>
      <c r="G14" s="1538">
        <v>0</v>
      </c>
      <c r="H14" s="1538">
        <v>0</v>
      </c>
    </row>
    <row r="15" spans="1:9" s="1533" customFormat="1" ht="17.25" customHeight="1" x14ac:dyDescent="0.25">
      <c r="A15" s="1531"/>
      <c r="B15" s="1531"/>
      <c r="C15" s="1536"/>
      <c r="D15" s="1589">
        <v>2767</v>
      </c>
      <c r="E15" s="1537">
        <v>4946671</v>
      </c>
      <c r="F15" s="1537">
        <v>4946671</v>
      </c>
      <c r="G15" s="1538">
        <v>0</v>
      </c>
      <c r="H15" s="1538">
        <v>0</v>
      </c>
    </row>
    <row r="16" spans="1:9" s="1533" customFormat="1" ht="17.25" customHeight="1" x14ac:dyDescent="0.25">
      <c r="A16" s="1531"/>
      <c r="B16" s="1531"/>
      <c r="C16" s="1536"/>
      <c r="D16" s="1589">
        <v>2768</v>
      </c>
      <c r="E16" s="1537">
        <v>15500000</v>
      </c>
      <c r="F16" s="1537">
        <v>15500000</v>
      </c>
      <c r="G16" s="1538">
        <v>0</v>
      </c>
      <c r="H16" s="1538">
        <v>0</v>
      </c>
    </row>
    <row r="17" spans="1:8" s="1533" customFormat="1" ht="17.25" customHeight="1" x14ac:dyDescent="0.25">
      <c r="A17" s="1531"/>
      <c r="B17" s="1531"/>
      <c r="C17" s="1536" t="s">
        <v>890</v>
      </c>
      <c r="D17" s="1589"/>
      <c r="E17" s="1537">
        <v>377950281</v>
      </c>
      <c r="F17" s="1537">
        <v>377950281</v>
      </c>
      <c r="G17" s="1538">
        <v>0</v>
      </c>
      <c r="H17" s="1538">
        <v>0</v>
      </c>
    </row>
    <row r="18" spans="1:8" s="1533" customFormat="1" ht="17.25" customHeight="1" x14ac:dyDescent="0.25">
      <c r="A18" s="1531"/>
      <c r="B18" s="1531"/>
      <c r="C18" s="1536"/>
      <c r="D18" s="1589">
        <v>2827</v>
      </c>
      <c r="E18" s="1537">
        <v>377950281</v>
      </c>
      <c r="F18" s="1537">
        <v>377950281</v>
      </c>
      <c r="G18" s="1538">
        <v>0</v>
      </c>
      <c r="H18" s="1538">
        <v>0</v>
      </c>
    </row>
    <row r="19" spans="1:8" s="1533" customFormat="1" ht="17.25" customHeight="1" x14ac:dyDescent="0.25">
      <c r="A19" s="1531"/>
      <c r="B19" s="1531"/>
      <c r="C19" s="1536" t="s">
        <v>859</v>
      </c>
      <c r="D19" s="1589"/>
      <c r="E19" s="1537">
        <v>17207369</v>
      </c>
      <c r="F19" s="1537">
        <v>14658323</v>
      </c>
      <c r="G19" s="1537">
        <v>2549046</v>
      </c>
      <c r="H19" s="1538">
        <v>0</v>
      </c>
    </row>
    <row r="20" spans="1:8" s="1533" customFormat="1" ht="17.25" customHeight="1" x14ac:dyDescent="0.25">
      <c r="A20" s="1531"/>
      <c r="B20" s="1531"/>
      <c r="C20" s="1536" t="s">
        <v>891</v>
      </c>
      <c r="D20" s="1589"/>
      <c r="E20" s="1537">
        <v>14600000</v>
      </c>
      <c r="F20" s="1537">
        <v>14600000</v>
      </c>
      <c r="G20" s="1538">
        <v>0</v>
      </c>
      <c r="H20" s="1538">
        <v>0</v>
      </c>
    </row>
    <row r="21" spans="1:8" s="1533" customFormat="1" ht="17.25" customHeight="1" x14ac:dyDescent="0.25">
      <c r="A21" s="1531"/>
      <c r="B21" s="1531"/>
      <c r="C21" s="1536" t="s">
        <v>892</v>
      </c>
      <c r="D21" s="1589"/>
      <c r="E21" s="1537">
        <v>14600000</v>
      </c>
      <c r="F21" s="1537">
        <v>14600000</v>
      </c>
      <c r="G21" s="1538">
        <v>0</v>
      </c>
      <c r="H21" s="1538">
        <v>0</v>
      </c>
    </row>
    <row r="22" spans="1:8" s="1533" customFormat="1" ht="17.25" customHeight="1" x14ac:dyDescent="0.25">
      <c r="A22" s="1531"/>
      <c r="B22" s="1531"/>
      <c r="C22" s="1536"/>
      <c r="D22" s="1589">
        <v>4252</v>
      </c>
      <c r="E22" s="1537">
        <v>11100000</v>
      </c>
      <c r="F22" s="1537">
        <v>11100000</v>
      </c>
      <c r="G22" s="1538">
        <v>0</v>
      </c>
      <c r="H22" s="1538">
        <v>0</v>
      </c>
    </row>
    <row r="23" spans="1:8" s="1533" customFormat="1" ht="17.25" customHeight="1" x14ac:dyDescent="0.25">
      <c r="A23" s="1531"/>
      <c r="B23" s="1531"/>
      <c r="C23" s="1536"/>
      <c r="D23" s="1589">
        <v>4263</v>
      </c>
      <c r="E23" s="1537">
        <v>3500000</v>
      </c>
      <c r="F23" s="1537">
        <v>3500000</v>
      </c>
      <c r="G23" s="1538">
        <v>0</v>
      </c>
      <c r="H23" s="1538">
        <v>0</v>
      </c>
    </row>
    <row r="24" spans="1:8" s="1533" customFormat="1" ht="17.25" customHeight="1" x14ac:dyDescent="0.25">
      <c r="A24" s="1531"/>
      <c r="B24" s="1531"/>
      <c r="C24" s="1536" t="s">
        <v>893</v>
      </c>
      <c r="D24" s="1589"/>
      <c r="E24" s="1537">
        <v>2607369</v>
      </c>
      <c r="F24" s="1537">
        <v>58323</v>
      </c>
      <c r="G24" s="1537">
        <v>2549046</v>
      </c>
      <c r="H24" s="1538">
        <v>0</v>
      </c>
    </row>
    <row r="25" spans="1:8" s="1533" customFormat="1" ht="17.25" customHeight="1" x14ac:dyDescent="0.25">
      <c r="A25" s="1531"/>
      <c r="B25" s="1531"/>
      <c r="C25" s="1536" t="s">
        <v>894</v>
      </c>
      <c r="D25" s="1589"/>
      <c r="E25" s="1537">
        <v>2607369</v>
      </c>
      <c r="F25" s="1537">
        <v>58323</v>
      </c>
      <c r="G25" s="1537">
        <v>2549046</v>
      </c>
      <c r="H25" s="1538">
        <v>0</v>
      </c>
    </row>
    <row r="26" spans="1:8" s="1533" customFormat="1" ht="17.25" customHeight="1" x14ac:dyDescent="0.25">
      <c r="A26" s="1531"/>
      <c r="B26" s="1531"/>
      <c r="C26" s="1536"/>
      <c r="D26" s="1589">
        <v>4944</v>
      </c>
      <c r="E26" s="1537">
        <v>2391190</v>
      </c>
      <c r="F26" s="1538">
        <v>0</v>
      </c>
      <c r="G26" s="1537">
        <v>2391190</v>
      </c>
      <c r="H26" s="1538">
        <v>0</v>
      </c>
    </row>
    <row r="27" spans="1:8" s="1533" customFormat="1" ht="17.25" customHeight="1" x14ac:dyDescent="0.25">
      <c r="A27" s="1531"/>
      <c r="B27" s="1531"/>
      <c r="C27" s="1536"/>
      <c r="D27" s="1589">
        <v>4949</v>
      </c>
      <c r="E27" s="1537">
        <v>216179</v>
      </c>
      <c r="F27" s="1537">
        <v>58323</v>
      </c>
      <c r="G27" s="1537">
        <v>157856</v>
      </c>
      <c r="H27" s="1538">
        <v>0</v>
      </c>
    </row>
    <row r="28" spans="1:8" s="1533" customFormat="1" ht="17.25" customHeight="1" x14ac:dyDescent="0.25">
      <c r="A28" s="1536"/>
      <c r="B28" s="1536" t="s">
        <v>860</v>
      </c>
      <c r="C28" s="1531"/>
      <c r="D28" s="1592"/>
      <c r="E28" s="1537">
        <v>3239040</v>
      </c>
      <c r="F28" s="1538">
        <v>0</v>
      </c>
      <c r="G28" s="1537">
        <v>3239040</v>
      </c>
      <c r="H28" s="1538">
        <v>0</v>
      </c>
    </row>
    <row r="29" spans="1:8" s="1533" customFormat="1" ht="17.25" customHeight="1" x14ac:dyDescent="0.25">
      <c r="A29" s="1531"/>
      <c r="B29" s="1531"/>
      <c r="C29" s="1536" t="s">
        <v>858</v>
      </c>
      <c r="D29" s="1589"/>
      <c r="E29" s="1537">
        <v>3239040</v>
      </c>
      <c r="F29" s="1538">
        <v>0</v>
      </c>
      <c r="G29" s="1537">
        <v>3239040</v>
      </c>
      <c r="H29" s="1538">
        <v>0</v>
      </c>
    </row>
    <row r="30" spans="1:8" s="1533" customFormat="1" ht="17.25" customHeight="1" x14ac:dyDescent="0.25">
      <c r="A30" s="1531"/>
      <c r="B30" s="1531"/>
      <c r="C30" s="1536" t="s">
        <v>895</v>
      </c>
      <c r="D30" s="1589"/>
      <c r="E30" s="1537">
        <v>1500000</v>
      </c>
      <c r="F30" s="1538">
        <v>0</v>
      </c>
      <c r="G30" s="1537">
        <v>1500000</v>
      </c>
      <c r="H30" s="1538">
        <v>0</v>
      </c>
    </row>
    <row r="31" spans="1:8" s="1533" customFormat="1" ht="17.25" customHeight="1" x14ac:dyDescent="0.25">
      <c r="A31" s="1531"/>
      <c r="B31" s="1531"/>
      <c r="C31" s="1536" t="s">
        <v>896</v>
      </c>
      <c r="D31" s="1589"/>
      <c r="E31" s="1537">
        <v>1500000</v>
      </c>
      <c r="F31" s="1538">
        <v>0</v>
      </c>
      <c r="G31" s="1537">
        <v>1500000</v>
      </c>
      <c r="H31" s="1538">
        <v>0</v>
      </c>
    </row>
    <row r="32" spans="1:8" s="1533" customFormat="1" ht="17.25" customHeight="1" x14ac:dyDescent="0.25">
      <c r="A32" s="1531"/>
      <c r="B32" s="1531"/>
      <c r="C32" s="1536"/>
      <c r="D32" s="1589">
        <v>1052</v>
      </c>
      <c r="E32" s="1537">
        <v>1500000</v>
      </c>
      <c r="F32" s="1538">
        <v>0</v>
      </c>
      <c r="G32" s="1537">
        <v>1500000</v>
      </c>
      <c r="H32" s="1538">
        <v>0</v>
      </c>
    </row>
    <row r="33" spans="1:8" s="1533" customFormat="1" ht="17.25" customHeight="1" x14ac:dyDescent="0.25">
      <c r="A33" s="1531"/>
      <c r="B33" s="1531"/>
      <c r="C33" s="1536" t="s">
        <v>897</v>
      </c>
      <c r="D33" s="1589"/>
      <c r="E33" s="1537">
        <v>239040</v>
      </c>
      <c r="F33" s="1538">
        <v>0</v>
      </c>
      <c r="G33" s="1537">
        <v>239040</v>
      </c>
      <c r="H33" s="1538">
        <v>0</v>
      </c>
    </row>
    <row r="34" spans="1:8" s="1533" customFormat="1" ht="17.25" customHeight="1" x14ac:dyDescent="0.25">
      <c r="A34" s="1531"/>
      <c r="B34" s="1531"/>
      <c r="C34" s="1536" t="s">
        <v>898</v>
      </c>
      <c r="D34" s="1589"/>
      <c r="E34" s="1537">
        <v>239040</v>
      </c>
      <c r="F34" s="1538">
        <v>0</v>
      </c>
      <c r="G34" s="1537">
        <v>239040</v>
      </c>
      <c r="H34" s="1538">
        <v>0</v>
      </c>
    </row>
    <row r="35" spans="1:8" s="1533" customFormat="1" ht="17.25" customHeight="1" x14ac:dyDescent="0.25">
      <c r="A35" s="1531"/>
      <c r="B35" s="1531"/>
      <c r="C35" s="1536"/>
      <c r="D35" s="1589">
        <v>1603</v>
      </c>
      <c r="E35" s="1537">
        <v>239040</v>
      </c>
      <c r="F35" s="1538">
        <v>0</v>
      </c>
      <c r="G35" s="1537">
        <v>239040</v>
      </c>
      <c r="H35" s="1538">
        <v>0</v>
      </c>
    </row>
    <row r="36" spans="1:8" s="1533" customFormat="1" ht="17.25" customHeight="1" x14ac:dyDescent="0.25">
      <c r="A36" s="1531"/>
      <c r="B36" s="1531"/>
      <c r="C36" s="1536" t="s">
        <v>899</v>
      </c>
      <c r="D36" s="1589"/>
      <c r="E36" s="1537">
        <v>1500000</v>
      </c>
      <c r="F36" s="1538">
        <v>0</v>
      </c>
      <c r="G36" s="1537">
        <v>1500000</v>
      </c>
      <c r="H36" s="1538">
        <v>0</v>
      </c>
    </row>
    <row r="37" spans="1:8" s="1533" customFormat="1" ht="17.25" customHeight="1" x14ac:dyDescent="0.25">
      <c r="A37" s="1531"/>
      <c r="B37" s="1531"/>
      <c r="C37" s="1536" t="s">
        <v>900</v>
      </c>
      <c r="D37" s="1589"/>
      <c r="E37" s="1537">
        <v>1500000</v>
      </c>
      <c r="F37" s="1538">
        <v>0</v>
      </c>
      <c r="G37" s="1537">
        <v>1500000</v>
      </c>
      <c r="H37" s="1538">
        <v>0</v>
      </c>
    </row>
    <row r="38" spans="1:8" s="1533" customFormat="1" ht="17.25" customHeight="1" x14ac:dyDescent="0.25">
      <c r="A38" s="1531"/>
      <c r="B38" s="1531"/>
      <c r="C38" s="1536"/>
      <c r="D38" s="1589">
        <v>1701</v>
      </c>
      <c r="E38" s="1537">
        <v>1500000</v>
      </c>
      <c r="F38" s="1538">
        <v>0</v>
      </c>
      <c r="G38" s="1537">
        <v>1500000</v>
      </c>
      <c r="H38" s="1538">
        <v>0</v>
      </c>
    </row>
    <row r="39" spans="1:8" s="1533" customFormat="1" ht="17.25" customHeight="1" x14ac:dyDescent="0.25">
      <c r="A39" s="1536"/>
      <c r="B39" s="1536" t="s">
        <v>861</v>
      </c>
      <c r="C39" s="1531"/>
      <c r="D39" s="1592"/>
      <c r="E39" s="1537">
        <v>500000</v>
      </c>
      <c r="F39" s="1537">
        <v>500000</v>
      </c>
      <c r="G39" s="1538">
        <v>0</v>
      </c>
      <c r="H39" s="1538">
        <v>0</v>
      </c>
    </row>
    <row r="40" spans="1:8" s="1533" customFormat="1" ht="17.25" customHeight="1" x14ac:dyDescent="0.25">
      <c r="A40" s="1531"/>
      <c r="B40" s="1531"/>
      <c r="C40" s="1536" t="s">
        <v>859</v>
      </c>
      <c r="D40" s="1589"/>
      <c r="E40" s="1537">
        <v>500000</v>
      </c>
      <c r="F40" s="1537">
        <v>500000</v>
      </c>
      <c r="G40" s="1538">
        <v>0</v>
      </c>
      <c r="H40" s="1538">
        <v>0</v>
      </c>
    </row>
    <row r="41" spans="1:8" s="1533" customFormat="1" ht="17.25" customHeight="1" x14ac:dyDescent="0.25">
      <c r="A41" s="1531"/>
      <c r="B41" s="1531"/>
      <c r="C41" s="1536" t="s">
        <v>891</v>
      </c>
      <c r="D41" s="1589"/>
      <c r="E41" s="1537">
        <v>500000</v>
      </c>
      <c r="F41" s="1537">
        <v>500000</v>
      </c>
      <c r="G41" s="1538">
        <v>0</v>
      </c>
      <c r="H41" s="1538">
        <v>0</v>
      </c>
    </row>
    <row r="42" spans="1:8" s="1533" customFormat="1" ht="17.25" customHeight="1" x14ac:dyDescent="0.25">
      <c r="A42" s="1531"/>
      <c r="B42" s="1531"/>
      <c r="C42" s="1536" t="s">
        <v>901</v>
      </c>
      <c r="D42" s="1589"/>
      <c r="E42" s="1537">
        <v>500000</v>
      </c>
      <c r="F42" s="1537">
        <v>500000</v>
      </c>
      <c r="G42" s="1538">
        <v>0</v>
      </c>
      <c r="H42" s="1538">
        <v>0</v>
      </c>
    </row>
    <row r="43" spans="1:8" s="1533" customFormat="1" ht="17.25" customHeight="1" x14ac:dyDescent="0.25">
      <c r="A43" s="1531"/>
      <c r="B43" s="1531"/>
      <c r="C43" s="1536"/>
      <c r="D43" s="1589">
        <v>4311</v>
      </c>
      <c r="E43" s="1537">
        <v>500000</v>
      </c>
      <c r="F43" s="1537">
        <v>500000</v>
      </c>
      <c r="G43" s="1538">
        <v>0</v>
      </c>
      <c r="H43" s="1538">
        <v>0</v>
      </c>
    </row>
    <row r="44" spans="1:8" s="1533" customFormat="1" ht="17.25" customHeight="1" x14ac:dyDescent="0.25">
      <c r="A44" s="1536"/>
      <c r="B44" s="1536" t="s">
        <v>862</v>
      </c>
      <c r="C44" s="1531"/>
      <c r="D44" s="1592"/>
      <c r="E44" s="1537">
        <v>7326000</v>
      </c>
      <c r="F44" s="1538">
        <v>0</v>
      </c>
      <c r="G44" s="1537">
        <v>7326000</v>
      </c>
      <c r="H44" s="1538">
        <v>0</v>
      </c>
    </row>
    <row r="45" spans="1:8" s="1533" customFormat="1" ht="17.25" customHeight="1" x14ac:dyDescent="0.25">
      <c r="A45" s="1531"/>
      <c r="B45" s="1531"/>
      <c r="C45" s="1536" t="s">
        <v>858</v>
      </c>
      <c r="D45" s="1589"/>
      <c r="E45" s="1537">
        <v>7326000</v>
      </c>
      <c r="F45" s="1538">
        <v>0</v>
      </c>
      <c r="G45" s="1537">
        <v>7326000</v>
      </c>
      <c r="H45" s="1538">
        <v>0</v>
      </c>
    </row>
    <row r="46" spans="1:8" s="1533" customFormat="1" ht="17.25" customHeight="1" x14ac:dyDescent="0.25">
      <c r="A46" s="1531"/>
      <c r="B46" s="1531"/>
      <c r="C46" s="1536" t="s">
        <v>897</v>
      </c>
      <c r="D46" s="1589"/>
      <c r="E46" s="1537">
        <v>7326000</v>
      </c>
      <c r="F46" s="1538">
        <v>0</v>
      </c>
      <c r="G46" s="1537">
        <v>7326000</v>
      </c>
      <c r="H46" s="1538">
        <v>0</v>
      </c>
    </row>
    <row r="47" spans="1:8" s="1533" customFormat="1" ht="17.25" customHeight="1" x14ac:dyDescent="0.25">
      <c r="A47" s="1531"/>
      <c r="B47" s="1531"/>
      <c r="C47" s="1536" t="s">
        <v>898</v>
      </c>
      <c r="D47" s="1589"/>
      <c r="E47" s="1537">
        <v>7326000</v>
      </c>
      <c r="F47" s="1538">
        <v>0</v>
      </c>
      <c r="G47" s="1537">
        <v>7326000</v>
      </c>
      <c r="H47" s="1538">
        <v>0</v>
      </c>
    </row>
    <row r="48" spans="1:8" s="1533" customFormat="1" ht="17.25" customHeight="1" x14ac:dyDescent="0.25">
      <c r="A48" s="1531"/>
      <c r="B48" s="1531"/>
      <c r="C48" s="1536"/>
      <c r="D48" s="1589">
        <v>1603</v>
      </c>
      <c r="E48" s="1537">
        <v>7326000</v>
      </c>
      <c r="F48" s="1538">
        <v>0</v>
      </c>
      <c r="G48" s="1537">
        <v>7326000</v>
      </c>
      <c r="H48" s="1538">
        <v>0</v>
      </c>
    </row>
    <row r="49" spans="1:8" s="1533" customFormat="1" ht="17.25" customHeight="1" x14ac:dyDescent="0.25">
      <c r="A49" s="1536"/>
      <c r="B49" s="1536" t="s">
        <v>863</v>
      </c>
      <c r="C49" s="1531"/>
      <c r="D49" s="1592"/>
      <c r="E49" s="1537">
        <v>16321200</v>
      </c>
      <c r="F49" s="1538">
        <v>0</v>
      </c>
      <c r="G49" s="1537">
        <v>16321200</v>
      </c>
      <c r="H49" s="1538">
        <v>0</v>
      </c>
    </row>
    <row r="50" spans="1:8" s="1533" customFormat="1" ht="17.25" customHeight="1" x14ac:dyDescent="0.25">
      <c r="A50" s="1531"/>
      <c r="B50" s="1531"/>
      <c r="C50" s="1536" t="s">
        <v>858</v>
      </c>
      <c r="D50" s="1589"/>
      <c r="E50" s="1537">
        <v>16321200</v>
      </c>
      <c r="F50" s="1538">
        <v>0</v>
      </c>
      <c r="G50" s="1537">
        <v>16321200</v>
      </c>
      <c r="H50" s="1538">
        <v>0</v>
      </c>
    </row>
    <row r="51" spans="1:8" s="1533" customFormat="1" ht="17.25" customHeight="1" x14ac:dyDescent="0.25">
      <c r="A51" s="1531"/>
      <c r="B51" s="1531"/>
      <c r="C51" s="1536" t="s">
        <v>897</v>
      </c>
      <c r="D51" s="1589"/>
      <c r="E51" s="1537">
        <v>16321200</v>
      </c>
      <c r="F51" s="1538">
        <v>0</v>
      </c>
      <c r="G51" s="1537">
        <v>16321200</v>
      </c>
      <c r="H51" s="1538">
        <v>0</v>
      </c>
    </row>
    <row r="52" spans="1:8" s="1533" customFormat="1" ht="17.25" customHeight="1" x14ac:dyDescent="0.25">
      <c r="A52" s="1531"/>
      <c r="B52" s="1531"/>
      <c r="C52" s="1536" t="s">
        <v>898</v>
      </c>
      <c r="D52" s="1589"/>
      <c r="E52" s="1537">
        <v>16321200</v>
      </c>
      <c r="F52" s="1538">
        <v>0</v>
      </c>
      <c r="G52" s="1537">
        <v>16321200</v>
      </c>
      <c r="H52" s="1538">
        <v>0</v>
      </c>
    </row>
    <row r="53" spans="1:8" s="1533" customFormat="1" ht="17.25" customHeight="1" x14ac:dyDescent="0.25">
      <c r="A53" s="1531"/>
      <c r="B53" s="1531"/>
      <c r="C53" s="1536"/>
      <c r="D53" s="1589">
        <v>1603</v>
      </c>
      <c r="E53" s="1537">
        <v>16321200</v>
      </c>
      <c r="F53" s="1538">
        <v>0</v>
      </c>
      <c r="G53" s="1537">
        <v>16321200</v>
      </c>
      <c r="H53" s="1538">
        <v>0</v>
      </c>
    </row>
    <row r="54" spans="1:8" s="1533" customFormat="1" ht="17.25" customHeight="1" x14ac:dyDescent="0.25">
      <c r="A54" s="1536"/>
      <c r="B54" s="1536" t="s">
        <v>864</v>
      </c>
      <c r="C54" s="1531"/>
      <c r="D54" s="1592"/>
      <c r="E54" s="1537">
        <v>7692960</v>
      </c>
      <c r="F54" s="1538">
        <v>0</v>
      </c>
      <c r="G54" s="1537">
        <v>7692960</v>
      </c>
      <c r="H54" s="1538">
        <v>0</v>
      </c>
    </row>
    <row r="55" spans="1:8" s="1533" customFormat="1" ht="17.25" customHeight="1" x14ac:dyDescent="0.25">
      <c r="A55" s="1531"/>
      <c r="B55" s="1531"/>
      <c r="C55" s="1536" t="s">
        <v>858</v>
      </c>
      <c r="D55" s="1589"/>
      <c r="E55" s="1537">
        <v>7692960</v>
      </c>
      <c r="F55" s="1538">
        <v>0</v>
      </c>
      <c r="G55" s="1537">
        <v>7692960</v>
      </c>
      <c r="H55" s="1538">
        <v>0</v>
      </c>
    </row>
    <row r="56" spans="1:8" s="1533" customFormat="1" ht="17.25" customHeight="1" x14ac:dyDescent="0.25">
      <c r="A56" s="1531"/>
      <c r="B56" s="1531"/>
      <c r="C56" s="1536" t="s">
        <v>897</v>
      </c>
      <c r="D56" s="1589"/>
      <c r="E56" s="1537">
        <v>7692960</v>
      </c>
      <c r="F56" s="1538">
        <v>0</v>
      </c>
      <c r="G56" s="1537">
        <v>7692960</v>
      </c>
      <c r="H56" s="1538">
        <v>0</v>
      </c>
    </row>
    <row r="57" spans="1:8" s="1533" customFormat="1" ht="17.25" customHeight="1" x14ac:dyDescent="0.25">
      <c r="A57" s="1531"/>
      <c r="B57" s="1531"/>
      <c r="C57" s="1536" t="s">
        <v>898</v>
      </c>
      <c r="D57" s="1589"/>
      <c r="E57" s="1537">
        <v>7692960</v>
      </c>
      <c r="F57" s="1538">
        <v>0</v>
      </c>
      <c r="G57" s="1537">
        <v>7692960</v>
      </c>
      <c r="H57" s="1538">
        <v>0</v>
      </c>
    </row>
    <row r="58" spans="1:8" s="1533" customFormat="1" ht="17.25" customHeight="1" x14ac:dyDescent="0.25">
      <c r="A58" s="1531"/>
      <c r="B58" s="1531"/>
      <c r="C58" s="1536"/>
      <c r="D58" s="1589">
        <v>1603</v>
      </c>
      <c r="E58" s="1537">
        <v>7692960</v>
      </c>
      <c r="F58" s="1538">
        <v>0</v>
      </c>
      <c r="G58" s="1537">
        <v>7692960</v>
      </c>
      <c r="H58" s="1538">
        <v>0</v>
      </c>
    </row>
    <row r="59" spans="1:8" s="1533" customFormat="1" ht="17.25" customHeight="1" x14ac:dyDescent="0.25">
      <c r="A59" s="1536"/>
      <c r="B59" s="1536" t="s">
        <v>865</v>
      </c>
      <c r="C59" s="1531"/>
      <c r="D59" s="1592"/>
      <c r="E59" s="1537">
        <v>1000000</v>
      </c>
      <c r="F59" s="1538">
        <v>0</v>
      </c>
      <c r="G59" s="1537">
        <v>1000000</v>
      </c>
      <c r="H59" s="1538">
        <v>0</v>
      </c>
    </row>
    <row r="60" spans="1:8" s="1533" customFormat="1" ht="17.25" customHeight="1" x14ac:dyDescent="0.25">
      <c r="A60" s="1531"/>
      <c r="B60" s="1531"/>
      <c r="C60" s="1536" t="s">
        <v>858</v>
      </c>
      <c r="D60" s="1589"/>
      <c r="E60" s="1537">
        <v>1000000</v>
      </c>
      <c r="F60" s="1538">
        <v>0</v>
      </c>
      <c r="G60" s="1537">
        <v>1000000</v>
      </c>
      <c r="H60" s="1538">
        <v>0</v>
      </c>
    </row>
    <row r="61" spans="1:8" s="1533" customFormat="1" ht="17.25" customHeight="1" x14ac:dyDescent="0.25">
      <c r="A61" s="1531"/>
      <c r="B61" s="1531"/>
      <c r="C61" s="1536" t="s">
        <v>888</v>
      </c>
      <c r="D61" s="1589"/>
      <c r="E61" s="1537">
        <v>1000000</v>
      </c>
      <c r="F61" s="1538">
        <v>0</v>
      </c>
      <c r="G61" s="1537">
        <v>1000000</v>
      </c>
      <c r="H61" s="1538">
        <v>0</v>
      </c>
    </row>
    <row r="62" spans="1:8" s="1533" customFormat="1" ht="17.25" customHeight="1" x14ac:dyDescent="0.25">
      <c r="A62" s="1531"/>
      <c r="B62" s="1531"/>
      <c r="C62" s="1536" t="s">
        <v>902</v>
      </c>
      <c r="D62" s="1589"/>
      <c r="E62" s="1537">
        <v>1000000</v>
      </c>
      <c r="F62" s="1538">
        <v>0</v>
      </c>
      <c r="G62" s="1537">
        <v>1000000</v>
      </c>
      <c r="H62" s="1538">
        <v>0</v>
      </c>
    </row>
    <row r="63" spans="1:8" s="1533" customFormat="1" ht="17.25" customHeight="1" x14ac:dyDescent="0.25">
      <c r="A63" s="1531"/>
      <c r="B63" s="1531"/>
      <c r="C63" s="1536"/>
      <c r="D63" s="1589">
        <v>2864</v>
      </c>
      <c r="E63" s="1537">
        <v>1000000</v>
      </c>
      <c r="F63" s="1538">
        <v>0</v>
      </c>
      <c r="G63" s="1537">
        <v>1000000</v>
      </c>
      <c r="H63" s="1538">
        <v>0</v>
      </c>
    </row>
    <row r="64" spans="1:8" s="1533" customFormat="1" ht="17.25" customHeight="1" x14ac:dyDescent="0.25">
      <c r="A64" s="1536"/>
      <c r="B64" s="1536" t="s">
        <v>866</v>
      </c>
      <c r="C64" s="1531"/>
      <c r="D64" s="1592"/>
      <c r="E64" s="1537">
        <v>2000000</v>
      </c>
      <c r="F64" s="1538">
        <v>0</v>
      </c>
      <c r="G64" s="1537">
        <v>2000000</v>
      </c>
      <c r="H64" s="1538">
        <v>0</v>
      </c>
    </row>
    <row r="65" spans="1:8" s="1533" customFormat="1" ht="17.25" customHeight="1" x14ac:dyDescent="0.25">
      <c r="A65" s="1531"/>
      <c r="B65" s="1531"/>
      <c r="C65" s="1536" t="s">
        <v>858</v>
      </c>
      <c r="D65" s="1589"/>
      <c r="E65" s="1537">
        <v>2000000</v>
      </c>
      <c r="F65" s="1538">
        <v>0</v>
      </c>
      <c r="G65" s="1537">
        <v>2000000</v>
      </c>
      <c r="H65" s="1538">
        <v>0</v>
      </c>
    </row>
    <row r="66" spans="1:8" s="1533" customFormat="1" ht="17.25" customHeight="1" x14ac:dyDescent="0.25">
      <c r="A66" s="1531"/>
      <c r="B66" s="1531"/>
      <c r="C66" s="1536" t="s">
        <v>888</v>
      </c>
      <c r="D66" s="1589"/>
      <c r="E66" s="1537">
        <v>2000000</v>
      </c>
      <c r="F66" s="1538">
        <v>0</v>
      </c>
      <c r="G66" s="1537">
        <v>2000000</v>
      </c>
      <c r="H66" s="1538">
        <v>0</v>
      </c>
    </row>
    <row r="67" spans="1:8" s="1533" customFormat="1" ht="17.25" customHeight="1" x14ac:dyDescent="0.25">
      <c r="A67" s="1531"/>
      <c r="B67" s="1531"/>
      <c r="C67" s="1536" t="s">
        <v>902</v>
      </c>
      <c r="D67" s="1589"/>
      <c r="E67" s="1537">
        <v>2000000</v>
      </c>
      <c r="F67" s="1538">
        <v>0</v>
      </c>
      <c r="G67" s="1537">
        <v>2000000</v>
      </c>
      <c r="H67" s="1538">
        <v>0</v>
      </c>
    </row>
    <row r="68" spans="1:8" s="1533" customFormat="1" ht="17.25" customHeight="1" x14ac:dyDescent="0.25">
      <c r="A68" s="1531"/>
      <c r="B68" s="1531"/>
      <c r="C68" s="1536"/>
      <c r="D68" s="1589">
        <v>2864</v>
      </c>
      <c r="E68" s="1537">
        <v>2000000</v>
      </c>
      <c r="F68" s="1538">
        <v>0</v>
      </c>
      <c r="G68" s="1537">
        <v>2000000</v>
      </c>
      <c r="H68" s="1538">
        <v>0</v>
      </c>
    </row>
    <row r="69" spans="1:8" s="1533" customFormat="1" ht="17.25" customHeight="1" x14ac:dyDescent="0.25">
      <c r="A69" s="1536" t="s">
        <v>867</v>
      </c>
      <c r="B69" s="1536"/>
      <c r="C69" s="1531"/>
      <c r="D69" s="1592"/>
      <c r="E69" s="1537">
        <v>1108185734</v>
      </c>
      <c r="F69" s="1538">
        <v>0</v>
      </c>
      <c r="G69" s="1537">
        <v>1108185734</v>
      </c>
      <c r="H69" s="1538">
        <v>0</v>
      </c>
    </row>
    <row r="70" spans="1:8" s="1533" customFormat="1" ht="17.25" customHeight="1" x14ac:dyDescent="0.25">
      <c r="A70" s="1536"/>
      <c r="B70" s="1536" t="s">
        <v>868</v>
      </c>
      <c r="C70" s="1531"/>
      <c r="D70" s="1592"/>
      <c r="E70" s="1537">
        <v>11053500</v>
      </c>
      <c r="F70" s="1538">
        <v>0</v>
      </c>
      <c r="G70" s="1537">
        <v>11053500</v>
      </c>
      <c r="H70" s="1538">
        <v>0</v>
      </c>
    </row>
    <row r="71" spans="1:8" s="1533" customFormat="1" ht="17.25" customHeight="1" x14ac:dyDescent="0.25">
      <c r="A71" s="1531"/>
      <c r="B71" s="1531"/>
      <c r="C71" s="1536" t="s">
        <v>858</v>
      </c>
      <c r="D71" s="1589"/>
      <c r="E71" s="1537">
        <v>11041500</v>
      </c>
      <c r="F71" s="1538">
        <v>0</v>
      </c>
      <c r="G71" s="1537">
        <v>11041500</v>
      </c>
      <c r="H71" s="1538">
        <v>0</v>
      </c>
    </row>
    <row r="72" spans="1:8" s="1533" customFormat="1" ht="17.25" customHeight="1" x14ac:dyDescent="0.25">
      <c r="A72" s="1531"/>
      <c r="B72" s="1531"/>
      <c r="C72" s="1536" t="s">
        <v>888</v>
      </c>
      <c r="D72" s="1589"/>
      <c r="E72" s="1537">
        <v>11041500</v>
      </c>
      <c r="F72" s="1538">
        <v>0</v>
      </c>
      <c r="G72" s="1537">
        <v>11041500</v>
      </c>
      <c r="H72" s="1538">
        <v>0</v>
      </c>
    </row>
    <row r="73" spans="1:8" s="1533" customFormat="1" ht="17.25" customHeight="1" x14ac:dyDescent="0.25">
      <c r="A73" s="1531"/>
      <c r="B73" s="1531"/>
      <c r="C73" s="1536" t="s">
        <v>890</v>
      </c>
      <c r="D73" s="1589"/>
      <c r="E73" s="1537">
        <v>11041500</v>
      </c>
      <c r="F73" s="1538">
        <v>0</v>
      </c>
      <c r="G73" s="1537">
        <v>11041500</v>
      </c>
      <c r="H73" s="1538">
        <v>0</v>
      </c>
    </row>
    <row r="74" spans="1:8" s="1533" customFormat="1" ht="17.25" customHeight="1" x14ac:dyDescent="0.25">
      <c r="A74" s="1531"/>
      <c r="B74" s="1531"/>
      <c r="C74" s="1536"/>
      <c r="D74" s="1589">
        <v>2805</v>
      </c>
      <c r="E74" s="1537">
        <v>11041500</v>
      </c>
      <c r="F74" s="1538">
        <v>0</v>
      </c>
      <c r="G74" s="1537">
        <v>11041500</v>
      </c>
      <c r="H74" s="1538">
        <v>0</v>
      </c>
    </row>
    <row r="75" spans="1:8" s="1533" customFormat="1" ht="17.25" customHeight="1" x14ac:dyDescent="0.25">
      <c r="A75" s="1531"/>
      <c r="B75" s="1531"/>
      <c r="C75" s="1536" t="s">
        <v>859</v>
      </c>
      <c r="D75" s="1589"/>
      <c r="E75" s="1537">
        <v>12000</v>
      </c>
      <c r="F75" s="1538">
        <v>0</v>
      </c>
      <c r="G75" s="1537">
        <v>12000</v>
      </c>
      <c r="H75" s="1538">
        <v>0</v>
      </c>
    </row>
    <row r="76" spans="1:8" s="1533" customFormat="1" ht="17.25" customHeight="1" x14ac:dyDescent="0.25">
      <c r="A76" s="1531"/>
      <c r="B76" s="1531"/>
      <c r="C76" s="1536" t="s">
        <v>893</v>
      </c>
      <c r="D76" s="1589"/>
      <c r="E76" s="1537">
        <v>12000</v>
      </c>
      <c r="F76" s="1538">
        <v>0</v>
      </c>
      <c r="G76" s="1537">
        <v>12000</v>
      </c>
      <c r="H76" s="1538">
        <v>0</v>
      </c>
    </row>
    <row r="77" spans="1:8" s="1533" customFormat="1" ht="17.25" customHeight="1" x14ac:dyDescent="0.25">
      <c r="A77" s="1531"/>
      <c r="B77" s="1531"/>
      <c r="C77" s="1536" t="s">
        <v>894</v>
      </c>
      <c r="D77" s="1589"/>
      <c r="E77" s="1537">
        <v>12000</v>
      </c>
      <c r="F77" s="1538">
        <v>0</v>
      </c>
      <c r="G77" s="1537">
        <v>12000</v>
      </c>
      <c r="H77" s="1538">
        <v>0</v>
      </c>
    </row>
    <row r="78" spans="1:8" s="1533" customFormat="1" ht="17.25" customHeight="1" x14ac:dyDescent="0.25">
      <c r="A78" s="1531"/>
      <c r="B78" s="1531"/>
      <c r="C78" s="1536"/>
      <c r="D78" s="1589">
        <v>4944</v>
      </c>
      <c r="E78" s="1537">
        <v>12000</v>
      </c>
      <c r="F78" s="1538">
        <v>0</v>
      </c>
      <c r="G78" s="1537">
        <v>12000</v>
      </c>
      <c r="H78" s="1538">
        <v>0</v>
      </c>
    </row>
    <row r="79" spans="1:8" s="1533" customFormat="1" ht="17.25" customHeight="1" x14ac:dyDescent="0.25">
      <c r="A79" s="1536"/>
      <c r="B79" s="1536" t="s">
        <v>869</v>
      </c>
      <c r="C79" s="1531"/>
      <c r="D79" s="1592"/>
      <c r="E79" s="1537">
        <v>56000000</v>
      </c>
      <c r="F79" s="1538">
        <v>0</v>
      </c>
      <c r="G79" s="1537">
        <v>56000000</v>
      </c>
      <c r="H79" s="1538">
        <v>0</v>
      </c>
    </row>
    <row r="80" spans="1:8" s="1533" customFormat="1" ht="17.25" customHeight="1" x14ac:dyDescent="0.25">
      <c r="A80" s="1531"/>
      <c r="B80" s="1531"/>
      <c r="C80" s="1536" t="s">
        <v>859</v>
      </c>
      <c r="D80" s="1589"/>
      <c r="E80" s="1537">
        <v>56000000</v>
      </c>
      <c r="F80" s="1538">
        <v>0</v>
      </c>
      <c r="G80" s="1537">
        <v>56000000</v>
      </c>
      <c r="H80" s="1538">
        <v>0</v>
      </c>
    </row>
    <row r="81" spans="1:8" s="1533" customFormat="1" ht="17.25" customHeight="1" x14ac:dyDescent="0.25">
      <c r="A81" s="1531"/>
      <c r="B81" s="1531"/>
      <c r="C81" s="1536" t="s">
        <v>891</v>
      </c>
      <c r="D81" s="1589"/>
      <c r="E81" s="1537">
        <v>56000000</v>
      </c>
      <c r="F81" s="1538">
        <v>0</v>
      </c>
      <c r="G81" s="1537">
        <v>56000000</v>
      </c>
      <c r="H81" s="1538">
        <v>0</v>
      </c>
    </row>
    <row r="82" spans="1:8" s="1533" customFormat="1" ht="17.25" customHeight="1" x14ac:dyDescent="0.25">
      <c r="A82" s="1531"/>
      <c r="B82" s="1531"/>
      <c r="C82" s="1536" t="s">
        <v>892</v>
      </c>
      <c r="D82" s="1589"/>
      <c r="E82" s="1537">
        <v>56000000</v>
      </c>
      <c r="F82" s="1538">
        <v>0</v>
      </c>
      <c r="G82" s="1537">
        <v>56000000</v>
      </c>
      <c r="H82" s="1538">
        <v>0</v>
      </c>
    </row>
    <row r="83" spans="1:8" s="1533" customFormat="1" ht="17.25" customHeight="1" x14ac:dyDescent="0.25">
      <c r="A83" s="1531"/>
      <c r="B83" s="1531"/>
      <c r="C83" s="1536"/>
      <c r="D83" s="1589">
        <v>4281</v>
      </c>
      <c r="E83" s="1537">
        <v>56000000</v>
      </c>
      <c r="F83" s="1538">
        <v>0</v>
      </c>
      <c r="G83" s="1537">
        <v>56000000</v>
      </c>
      <c r="H83" s="1538">
        <v>0</v>
      </c>
    </row>
    <row r="84" spans="1:8" s="1533" customFormat="1" ht="17.25" customHeight="1" x14ac:dyDescent="0.25">
      <c r="A84" s="1536"/>
      <c r="B84" s="1536" t="s">
        <v>870</v>
      </c>
      <c r="C84" s="1531"/>
      <c r="D84" s="1592"/>
      <c r="E84" s="1537">
        <v>6279831</v>
      </c>
      <c r="F84" s="1538">
        <v>0</v>
      </c>
      <c r="G84" s="1537">
        <v>6279831</v>
      </c>
      <c r="H84" s="1538">
        <v>0</v>
      </c>
    </row>
    <row r="85" spans="1:8" s="1533" customFormat="1" ht="17.25" customHeight="1" x14ac:dyDescent="0.25">
      <c r="A85" s="1531"/>
      <c r="B85" s="1531"/>
      <c r="C85" s="1536" t="s">
        <v>858</v>
      </c>
      <c r="D85" s="1589"/>
      <c r="E85" s="1537">
        <v>6248691</v>
      </c>
      <c r="F85" s="1538">
        <v>0</v>
      </c>
      <c r="G85" s="1537">
        <v>6248691</v>
      </c>
      <c r="H85" s="1538">
        <v>0</v>
      </c>
    </row>
    <row r="86" spans="1:8" s="1533" customFormat="1" ht="17.25" customHeight="1" x14ac:dyDescent="0.25">
      <c r="A86" s="1531"/>
      <c r="B86" s="1531"/>
      <c r="C86" s="1536" t="s">
        <v>895</v>
      </c>
      <c r="D86" s="1589"/>
      <c r="E86" s="1537">
        <v>673350</v>
      </c>
      <c r="F86" s="1538">
        <v>0</v>
      </c>
      <c r="G86" s="1537">
        <v>673350</v>
      </c>
      <c r="H86" s="1538">
        <v>0</v>
      </c>
    </row>
    <row r="87" spans="1:8" s="1533" customFormat="1" ht="17.25" customHeight="1" x14ac:dyDescent="0.25">
      <c r="A87" s="1531"/>
      <c r="B87" s="1531"/>
      <c r="C87" s="1536" t="s">
        <v>896</v>
      </c>
      <c r="D87" s="1589"/>
      <c r="E87" s="1537">
        <v>673350</v>
      </c>
      <c r="F87" s="1538">
        <v>0</v>
      </c>
      <c r="G87" s="1537">
        <v>673350</v>
      </c>
      <c r="H87" s="1538">
        <v>0</v>
      </c>
    </row>
    <row r="88" spans="1:8" s="1533" customFormat="1" ht="17.25" customHeight="1" x14ac:dyDescent="0.25">
      <c r="A88" s="1531"/>
      <c r="B88" s="1531"/>
      <c r="C88" s="1536"/>
      <c r="D88" s="1589">
        <v>1052</v>
      </c>
      <c r="E88" s="1537">
        <v>673350</v>
      </c>
      <c r="F88" s="1538">
        <v>0</v>
      </c>
      <c r="G88" s="1537">
        <v>673350</v>
      </c>
      <c r="H88" s="1538">
        <v>0</v>
      </c>
    </row>
    <row r="89" spans="1:8" s="1533" customFormat="1" ht="17.25" customHeight="1" x14ac:dyDescent="0.25">
      <c r="A89" s="1531"/>
      <c r="B89" s="1531"/>
      <c r="C89" s="1536" t="s">
        <v>899</v>
      </c>
      <c r="D89" s="1589"/>
      <c r="E89" s="1537">
        <v>5575341</v>
      </c>
      <c r="F89" s="1538">
        <v>0</v>
      </c>
      <c r="G89" s="1537">
        <v>5575341</v>
      </c>
      <c r="H89" s="1538">
        <v>0</v>
      </c>
    </row>
    <row r="90" spans="1:8" s="1533" customFormat="1" ht="17.25" customHeight="1" x14ac:dyDescent="0.25">
      <c r="A90" s="1531"/>
      <c r="B90" s="1531"/>
      <c r="C90" s="1536" t="s">
        <v>900</v>
      </c>
      <c r="D90" s="1589"/>
      <c r="E90" s="1537">
        <v>5575341</v>
      </c>
      <c r="F90" s="1538">
        <v>0</v>
      </c>
      <c r="G90" s="1537">
        <v>5575341</v>
      </c>
      <c r="H90" s="1538">
        <v>0</v>
      </c>
    </row>
    <row r="91" spans="1:8" s="1533" customFormat="1" ht="17.25" customHeight="1" x14ac:dyDescent="0.25">
      <c r="A91" s="1531"/>
      <c r="B91" s="1531"/>
      <c r="C91" s="1536"/>
      <c r="D91" s="1589">
        <v>1701</v>
      </c>
      <c r="E91" s="1537">
        <v>5575341</v>
      </c>
      <c r="F91" s="1538">
        <v>0</v>
      </c>
      <c r="G91" s="1537">
        <v>5575341</v>
      </c>
      <c r="H91" s="1538">
        <v>0</v>
      </c>
    </row>
    <row r="92" spans="1:8" s="1533" customFormat="1" ht="17.25" customHeight="1" x14ac:dyDescent="0.25">
      <c r="A92" s="1531"/>
      <c r="B92" s="1531"/>
      <c r="C92" s="1536" t="s">
        <v>859</v>
      </c>
      <c r="D92" s="1589"/>
      <c r="E92" s="1537">
        <v>31140</v>
      </c>
      <c r="F92" s="1538">
        <v>0</v>
      </c>
      <c r="G92" s="1537">
        <v>31140</v>
      </c>
      <c r="H92" s="1538">
        <v>0</v>
      </c>
    </row>
    <row r="93" spans="1:8" s="1533" customFormat="1" ht="17.25" customHeight="1" x14ac:dyDescent="0.25">
      <c r="A93" s="1531"/>
      <c r="B93" s="1531"/>
      <c r="C93" s="1536" t="s">
        <v>893</v>
      </c>
      <c r="D93" s="1589"/>
      <c r="E93" s="1537">
        <v>31140</v>
      </c>
      <c r="F93" s="1538">
        <v>0</v>
      </c>
      <c r="G93" s="1537">
        <v>31140</v>
      </c>
      <c r="H93" s="1538">
        <v>0</v>
      </c>
    </row>
    <row r="94" spans="1:8" s="1533" customFormat="1" ht="17.25" customHeight="1" x14ac:dyDescent="0.25">
      <c r="A94" s="1531"/>
      <c r="B94" s="1531"/>
      <c r="C94" s="1536" t="s">
        <v>894</v>
      </c>
      <c r="D94" s="1589"/>
      <c r="E94" s="1537">
        <v>31140</v>
      </c>
      <c r="F94" s="1538">
        <v>0</v>
      </c>
      <c r="G94" s="1537">
        <v>31140</v>
      </c>
      <c r="H94" s="1538">
        <v>0</v>
      </c>
    </row>
    <row r="95" spans="1:8" s="1533" customFormat="1" ht="17.25" customHeight="1" x14ac:dyDescent="0.25">
      <c r="A95" s="1531"/>
      <c r="B95" s="1531"/>
      <c r="C95" s="1536"/>
      <c r="D95" s="1589">
        <v>4944</v>
      </c>
      <c r="E95" s="1537">
        <v>31140</v>
      </c>
      <c r="F95" s="1538">
        <v>0</v>
      </c>
      <c r="G95" s="1537">
        <v>31140</v>
      </c>
      <c r="H95" s="1538">
        <v>0</v>
      </c>
    </row>
    <row r="96" spans="1:8" s="1533" customFormat="1" ht="17.25" customHeight="1" x14ac:dyDescent="0.25">
      <c r="A96" s="1536"/>
      <c r="B96" s="1536" t="s">
        <v>871</v>
      </c>
      <c r="C96" s="1531"/>
      <c r="D96" s="1592"/>
      <c r="E96" s="1537">
        <v>19990500</v>
      </c>
      <c r="F96" s="1538">
        <v>0</v>
      </c>
      <c r="G96" s="1537">
        <v>19990500</v>
      </c>
      <c r="H96" s="1538">
        <v>0</v>
      </c>
    </row>
    <row r="97" spans="1:8" s="1533" customFormat="1" ht="17.25" customHeight="1" x14ac:dyDescent="0.25">
      <c r="A97" s="1531"/>
      <c r="B97" s="1531"/>
      <c r="C97" s="1536" t="s">
        <v>858</v>
      </c>
      <c r="D97" s="1589"/>
      <c r="E97" s="1537">
        <v>19990500</v>
      </c>
      <c r="F97" s="1538">
        <v>0</v>
      </c>
      <c r="G97" s="1537">
        <v>19990500</v>
      </c>
      <c r="H97" s="1538">
        <v>0</v>
      </c>
    </row>
    <row r="98" spans="1:8" s="1533" customFormat="1" ht="17.25" customHeight="1" x14ac:dyDescent="0.25">
      <c r="A98" s="1531"/>
      <c r="B98" s="1531"/>
      <c r="C98" s="1536" t="s">
        <v>888</v>
      </c>
      <c r="D98" s="1589"/>
      <c r="E98" s="1537">
        <v>19990500</v>
      </c>
      <c r="F98" s="1538">
        <v>0</v>
      </c>
      <c r="G98" s="1537">
        <v>19990500</v>
      </c>
      <c r="H98" s="1538">
        <v>0</v>
      </c>
    </row>
    <row r="99" spans="1:8" s="1533" customFormat="1" ht="17.25" customHeight="1" x14ac:dyDescent="0.25">
      <c r="A99" s="1531"/>
      <c r="B99" s="1531"/>
      <c r="C99" s="1536" t="s">
        <v>890</v>
      </c>
      <c r="D99" s="1589"/>
      <c r="E99" s="1537">
        <v>19990500</v>
      </c>
      <c r="F99" s="1538">
        <v>0</v>
      </c>
      <c r="G99" s="1537">
        <v>19990500</v>
      </c>
      <c r="H99" s="1538">
        <v>0</v>
      </c>
    </row>
    <row r="100" spans="1:8" s="1533" customFormat="1" ht="17.25" customHeight="1" x14ac:dyDescent="0.25">
      <c r="A100" s="1531"/>
      <c r="B100" s="1531"/>
      <c r="C100" s="1536"/>
      <c r="D100" s="1589">
        <v>2805</v>
      </c>
      <c r="E100" s="1537">
        <v>19990500</v>
      </c>
      <c r="F100" s="1538">
        <v>0</v>
      </c>
      <c r="G100" s="1537">
        <v>19990500</v>
      </c>
      <c r="H100" s="1538">
        <v>0</v>
      </c>
    </row>
    <row r="101" spans="1:8" s="1533" customFormat="1" ht="17.25" customHeight="1" x14ac:dyDescent="0.25">
      <c r="A101" s="1536"/>
      <c r="B101" s="1536" t="s">
        <v>872</v>
      </c>
      <c r="C101" s="1531"/>
      <c r="D101" s="1592"/>
      <c r="E101" s="1537">
        <v>6407687</v>
      </c>
      <c r="F101" s="1538">
        <v>0</v>
      </c>
      <c r="G101" s="1537">
        <v>6407687</v>
      </c>
      <c r="H101" s="1538">
        <v>0</v>
      </c>
    </row>
    <row r="102" spans="1:8" s="1533" customFormat="1" ht="17.25" customHeight="1" x14ac:dyDescent="0.25">
      <c r="A102" s="1531"/>
      <c r="B102" s="1531"/>
      <c r="C102" s="1536" t="s">
        <v>859</v>
      </c>
      <c r="D102" s="1589"/>
      <c r="E102" s="1537">
        <v>6407687</v>
      </c>
      <c r="F102" s="1538">
        <v>0</v>
      </c>
      <c r="G102" s="1537">
        <v>6407687</v>
      </c>
      <c r="H102" s="1538">
        <v>0</v>
      </c>
    </row>
    <row r="103" spans="1:8" s="1533" customFormat="1" ht="17.25" customHeight="1" x14ac:dyDescent="0.25">
      <c r="A103" s="1531"/>
      <c r="B103" s="1531"/>
      <c r="C103" s="1536" t="s">
        <v>891</v>
      </c>
      <c r="D103" s="1589"/>
      <c r="E103" s="1537">
        <v>6407687</v>
      </c>
      <c r="F103" s="1538">
        <v>0</v>
      </c>
      <c r="G103" s="1537">
        <v>6407687</v>
      </c>
      <c r="H103" s="1538">
        <v>0</v>
      </c>
    </row>
    <row r="104" spans="1:8" s="1533" customFormat="1" ht="17.25" customHeight="1" x14ac:dyDescent="0.25">
      <c r="A104" s="1531"/>
      <c r="B104" s="1531"/>
      <c r="C104" s="1536" t="s">
        <v>892</v>
      </c>
      <c r="D104" s="1589"/>
      <c r="E104" s="1537">
        <v>6407687</v>
      </c>
      <c r="F104" s="1538">
        <v>0</v>
      </c>
      <c r="G104" s="1537">
        <v>6407687</v>
      </c>
      <c r="H104" s="1538">
        <v>0</v>
      </c>
    </row>
    <row r="105" spans="1:8" s="1533" customFormat="1" ht="17.25" customHeight="1" x14ac:dyDescent="0.25">
      <c r="A105" s="1531"/>
      <c r="B105" s="1531"/>
      <c r="C105" s="1536"/>
      <c r="D105" s="1589">
        <v>4299</v>
      </c>
      <c r="E105" s="1537">
        <v>6407687</v>
      </c>
      <c r="F105" s="1538">
        <v>0</v>
      </c>
      <c r="G105" s="1537">
        <v>6407687</v>
      </c>
      <c r="H105" s="1538">
        <v>0</v>
      </c>
    </row>
    <row r="106" spans="1:8" s="1533" customFormat="1" ht="17.25" customHeight="1" x14ac:dyDescent="0.25">
      <c r="A106" s="1536"/>
      <c r="B106" s="1536" t="s">
        <v>873</v>
      </c>
      <c r="C106" s="1531"/>
      <c r="D106" s="1592"/>
      <c r="E106" s="1537">
        <v>54429653</v>
      </c>
      <c r="F106" s="1538">
        <v>0</v>
      </c>
      <c r="G106" s="1537">
        <v>54429653</v>
      </c>
      <c r="H106" s="1538">
        <v>0</v>
      </c>
    </row>
    <row r="107" spans="1:8" s="1533" customFormat="1" ht="17.25" customHeight="1" x14ac:dyDescent="0.25">
      <c r="A107" s="1531"/>
      <c r="B107" s="1531"/>
      <c r="C107" s="1536" t="s">
        <v>858</v>
      </c>
      <c r="D107" s="1589"/>
      <c r="E107" s="1537">
        <v>54429653</v>
      </c>
      <c r="F107" s="1538">
        <v>0</v>
      </c>
      <c r="G107" s="1537">
        <v>54429653</v>
      </c>
      <c r="H107" s="1538">
        <v>0</v>
      </c>
    </row>
    <row r="108" spans="1:8" s="1533" customFormat="1" ht="17.25" customHeight="1" x14ac:dyDescent="0.25">
      <c r="A108" s="1531"/>
      <c r="B108" s="1531"/>
      <c r="C108" s="1536" t="s">
        <v>897</v>
      </c>
      <c r="D108" s="1589"/>
      <c r="E108" s="1537">
        <v>1096320</v>
      </c>
      <c r="F108" s="1538">
        <v>0</v>
      </c>
      <c r="G108" s="1537">
        <v>1096320</v>
      </c>
      <c r="H108" s="1538">
        <v>0</v>
      </c>
    </row>
    <row r="109" spans="1:8" s="1533" customFormat="1" ht="17.25" customHeight="1" x14ac:dyDescent="0.25">
      <c r="A109" s="1531"/>
      <c r="B109" s="1531"/>
      <c r="C109" s="1536" t="s">
        <v>898</v>
      </c>
      <c r="D109" s="1589"/>
      <c r="E109" s="1537">
        <v>1096320</v>
      </c>
      <c r="F109" s="1538">
        <v>0</v>
      </c>
      <c r="G109" s="1537">
        <v>1096320</v>
      </c>
      <c r="H109" s="1538">
        <v>0</v>
      </c>
    </row>
    <row r="110" spans="1:8" s="1533" customFormat="1" ht="17.25" customHeight="1" x14ac:dyDescent="0.25">
      <c r="A110" s="1531"/>
      <c r="B110" s="1531"/>
      <c r="C110" s="1536"/>
      <c r="D110" s="1589">
        <v>1603</v>
      </c>
      <c r="E110" s="1537">
        <v>1096320</v>
      </c>
      <c r="F110" s="1538">
        <v>0</v>
      </c>
      <c r="G110" s="1537">
        <v>1096320</v>
      </c>
      <c r="H110" s="1538">
        <v>0</v>
      </c>
    </row>
    <row r="111" spans="1:8" s="1533" customFormat="1" ht="17.25" customHeight="1" x14ac:dyDescent="0.25">
      <c r="A111" s="1531"/>
      <c r="B111" s="1531"/>
      <c r="C111" s="1536" t="s">
        <v>899</v>
      </c>
      <c r="D111" s="1589"/>
      <c r="E111" s="1537">
        <v>53333333</v>
      </c>
      <c r="F111" s="1538">
        <v>0</v>
      </c>
      <c r="G111" s="1537">
        <v>53333333</v>
      </c>
      <c r="H111" s="1538">
        <v>0</v>
      </c>
    </row>
    <row r="112" spans="1:8" s="1533" customFormat="1" ht="17.25" customHeight="1" x14ac:dyDescent="0.25">
      <c r="A112" s="1531"/>
      <c r="B112" s="1531"/>
      <c r="C112" s="1536" t="s">
        <v>900</v>
      </c>
      <c r="D112" s="1589"/>
      <c r="E112" s="1537">
        <v>53333333</v>
      </c>
      <c r="F112" s="1538">
        <v>0</v>
      </c>
      <c r="G112" s="1537">
        <v>53333333</v>
      </c>
      <c r="H112" s="1538">
        <v>0</v>
      </c>
    </row>
    <row r="113" spans="1:8" s="1533" customFormat="1" ht="17.25" customHeight="1" x14ac:dyDescent="0.25">
      <c r="A113" s="1531"/>
      <c r="B113" s="1531"/>
      <c r="C113" s="1536"/>
      <c r="D113" s="1589">
        <v>1701</v>
      </c>
      <c r="E113" s="1537">
        <v>53333333</v>
      </c>
      <c r="F113" s="1538">
        <v>0</v>
      </c>
      <c r="G113" s="1537">
        <v>53333333</v>
      </c>
      <c r="H113" s="1538">
        <v>0</v>
      </c>
    </row>
    <row r="114" spans="1:8" s="1533" customFormat="1" ht="17.25" customHeight="1" x14ac:dyDescent="0.25">
      <c r="A114" s="1536"/>
      <c r="B114" s="1536" t="s">
        <v>874</v>
      </c>
      <c r="C114" s="1531"/>
      <c r="D114" s="1592"/>
      <c r="E114" s="1537">
        <v>188955643</v>
      </c>
      <c r="F114" s="1538">
        <v>0</v>
      </c>
      <c r="G114" s="1537">
        <v>188955643</v>
      </c>
      <c r="H114" s="1538">
        <v>0</v>
      </c>
    </row>
    <row r="115" spans="1:8" s="1533" customFormat="1" ht="17.25" customHeight="1" x14ac:dyDescent="0.25">
      <c r="A115" s="1531"/>
      <c r="B115" s="1531"/>
      <c r="C115" s="1536" t="s">
        <v>858</v>
      </c>
      <c r="D115" s="1589"/>
      <c r="E115" s="1537">
        <v>187854016</v>
      </c>
      <c r="F115" s="1538">
        <v>0</v>
      </c>
      <c r="G115" s="1537">
        <v>187854016</v>
      </c>
      <c r="H115" s="1538">
        <v>0</v>
      </c>
    </row>
    <row r="116" spans="1:8" s="1533" customFormat="1" ht="17.25" customHeight="1" x14ac:dyDescent="0.25">
      <c r="A116" s="1531"/>
      <c r="B116" s="1531"/>
      <c r="C116" s="1536" t="s">
        <v>897</v>
      </c>
      <c r="D116" s="1589"/>
      <c r="E116" s="1537">
        <v>58717982</v>
      </c>
      <c r="F116" s="1538">
        <v>0</v>
      </c>
      <c r="G116" s="1537">
        <v>58717982</v>
      </c>
      <c r="H116" s="1538">
        <v>0</v>
      </c>
    </row>
    <row r="117" spans="1:8" s="1533" customFormat="1" ht="17.25" customHeight="1" x14ac:dyDescent="0.25">
      <c r="A117" s="1531"/>
      <c r="B117" s="1531"/>
      <c r="C117" s="1536" t="s">
        <v>903</v>
      </c>
      <c r="D117" s="1589"/>
      <c r="E117" s="1537">
        <v>3901794</v>
      </c>
      <c r="F117" s="1538">
        <v>0</v>
      </c>
      <c r="G117" s="1537">
        <v>3901794</v>
      </c>
      <c r="H117" s="1538">
        <v>0</v>
      </c>
    </row>
    <row r="118" spans="1:8" s="1533" customFormat="1" ht="17.25" customHeight="1" x14ac:dyDescent="0.25">
      <c r="A118" s="1531"/>
      <c r="B118" s="1531"/>
      <c r="C118" s="1536"/>
      <c r="D118" s="1589">
        <v>1558</v>
      </c>
      <c r="E118" s="1537">
        <v>3901794</v>
      </c>
      <c r="F118" s="1538">
        <v>0</v>
      </c>
      <c r="G118" s="1537">
        <v>3901794</v>
      </c>
      <c r="H118" s="1538">
        <v>0</v>
      </c>
    </row>
    <row r="119" spans="1:8" s="1533" customFormat="1" ht="17.25" customHeight="1" x14ac:dyDescent="0.25">
      <c r="A119" s="1531"/>
      <c r="B119" s="1531"/>
      <c r="C119" s="1536" t="s">
        <v>898</v>
      </c>
      <c r="D119" s="1589"/>
      <c r="E119" s="1537">
        <v>54816188</v>
      </c>
      <c r="F119" s="1538">
        <v>0</v>
      </c>
      <c r="G119" s="1537">
        <v>54816188</v>
      </c>
      <c r="H119" s="1538">
        <v>0</v>
      </c>
    </row>
    <row r="120" spans="1:8" s="1533" customFormat="1" ht="17.25" customHeight="1" x14ac:dyDescent="0.25">
      <c r="A120" s="1531"/>
      <c r="B120" s="1531"/>
      <c r="C120" s="1536"/>
      <c r="D120" s="1589">
        <v>1602</v>
      </c>
      <c r="E120" s="1537">
        <v>18468350</v>
      </c>
      <c r="F120" s="1538">
        <v>0</v>
      </c>
      <c r="G120" s="1537">
        <v>18468350</v>
      </c>
      <c r="H120" s="1538">
        <v>0</v>
      </c>
    </row>
    <row r="121" spans="1:8" s="1533" customFormat="1" ht="17.25" customHeight="1" x14ac:dyDescent="0.25">
      <c r="A121" s="1531"/>
      <c r="B121" s="1531"/>
      <c r="C121" s="1536"/>
      <c r="D121" s="1589">
        <v>1603</v>
      </c>
      <c r="E121" s="1537">
        <v>36347838</v>
      </c>
      <c r="F121" s="1538">
        <v>0</v>
      </c>
      <c r="G121" s="1537">
        <v>36347838</v>
      </c>
      <c r="H121" s="1538">
        <v>0</v>
      </c>
    </row>
    <row r="122" spans="1:8" s="1533" customFormat="1" ht="17.25" customHeight="1" x14ac:dyDescent="0.25">
      <c r="A122" s="1531"/>
      <c r="B122" s="1531"/>
      <c r="C122" s="1536" t="s">
        <v>899</v>
      </c>
      <c r="D122" s="1589"/>
      <c r="E122" s="1537">
        <v>39592896</v>
      </c>
      <c r="F122" s="1538">
        <v>0</v>
      </c>
      <c r="G122" s="1537">
        <v>39592896</v>
      </c>
      <c r="H122" s="1538">
        <v>0</v>
      </c>
    </row>
    <row r="123" spans="1:8" s="1533" customFormat="1" ht="17.25" customHeight="1" x14ac:dyDescent="0.25">
      <c r="A123" s="1531"/>
      <c r="B123" s="1531"/>
      <c r="C123" s="1536" t="s">
        <v>900</v>
      </c>
      <c r="D123" s="1589"/>
      <c r="E123" s="1537">
        <v>39592896</v>
      </c>
      <c r="F123" s="1538">
        <v>0</v>
      </c>
      <c r="G123" s="1537">
        <v>39592896</v>
      </c>
      <c r="H123" s="1538">
        <v>0</v>
      </c>
    </row>
    <row r="124" spans="1:8" s="1533" customFormat="1" ht="17.25" customHeight="1" x14ac:dyDescent="0.25">
      <c r="A124" s="1531"/>
      <c r="B124" s="1531"/>
      <c r="C124" s="1536"/>
      <c r="D124" s="1589">
        <v>1701</v>
      </c>
      <c r="E124" s="1537">
        <v>39592896</v>
      </c>
      <c r="F124" s="1538">
        <v>0</v>
      </c>
      <c r="G124" s="1537">
        <v>39592896</v>
      </c>
      <c r="H124" s="1538">
        <v>0</v>
      </c>
    </row>
    <row r="125" spans="1:8" s="1533" customFormat="1" ht="17.25" customHeight="1" x14ac:dyDescent="0.25">
      <c r="A125" s="1531"/>
      <c r="B125" s="1531"/>
      <c r="C125" s="1536" t="s">
        <v>888</v>
      </c>
      <c r="D125" s="1589"/>
      <c r="E125" s="1537">
        <v>89543138</v>
      </c>
      <c r="F125" s="1538">
        <v>0</v>
      </c>
      <c r="G125" s="1537">
        <v>89543138</v>
      </c>
      <c r="H125" s="1538">
        <v>0</v>
      </c>
    </row>
    <row r="126" spans="1:8" s="1533" customFormat="1" ht="17.25" customHeight="1" x14ac:dyDescent="0.25">
      <c r="A126" s="1531"/>
      <c r="B126" s="1531"/>
      <c r="C126" s="1536" t="s">
        <v>904</v>
      </c>
      <c r="D126" s="1589"/>
      <c r="E126" s="1537">
        <v>43715700</v>
      </c>
      <c r="F126" s="1538">
        <v>0</v>
      </c>
      <c r="G126" s="1537">
        <v>43715700</v>
      </c>
      <c r="H126" s="1538">
        <v>0</v>
      </c>
    </row>
    <row r="127" spans="1:8" s="1533" customFormat="1" ht="17.25" customHeight="1" x14ac:dyDescent="0.25">
      <c r="A127" s="1531"/>
      <c r="B127" s="1531"/>
      <c r="C127" s="1536"/>
      <c r="D127" s="1589">
        <v>2625</v>
      </c>
      <c r="E127" s="1537">
        <v>43715700</v>
      </c>
      <c r="F127" s="1538">
        <v>0</v>
      </c>
      <c r="G127" s="1537">
        <v>43715700</v>
      </c>
      <c r="H127" s="1538">
        <v>0</v>
      </c>
    </row>
    <row r="128" spans="1:8" s="1533" customFormat="1" ht="17.25" customHeight="1" x14ac:dyDescent="0.25">
      <c r="A128" s="1531"/>
      <c r="B128" s="1531"/>
      <c r="C128" s="1536" t="s">
        <v>890</v>
      </c>
      <c r="D128" s="1589"/>
      <c r="E128" s="1537">
        <v>44827438</v>
      </c>
      <c r="F128" s="1538">
        <v>0</v>
      </c>
      <c r="G128" s="1537">
        <v>44827438</v>
      </c>
      <c r="H128" s="1538">
        <v>0</v>
      </c>
    </row>
    <row r="129" spans="1:8" s="1533" customFormat="1" ht="17.25" customHeight="1" x14ac:dyDescent="0.25">
      <c r="A129" s="1531"/>
      <c r="B129" s="1531"/>
      <c r="C129" s="1536"/>
      <c r="D129" s="1589">
        <v>2801</v>
      </c>
      <c r="E129" s="1537">
        <v>2143638</v>
      </c>
      <c r="F129" s="1538">
        <v>0</v>
      </c>
      <c r="G129" s="1537">
        <v>2143638</v>
      </c>
      <c r="H129" s="1538">
        <v>0</v>
      </c>
    </row>
    <row r="130" spans="1:8" s="1533" customFormat="1" ht="17.25" customHeight="1" x14ac:dyDescent="0.25">
      <c r="A130" s="1531"/>
      <c r="B130" s="1531"/>
      <c r="C130" s="1536"/>
      <c r="D130" s="1589">
        <v>2802</v>
      </c>
      <c r="E130" s="1537">
        <v>20200000</v>
      </c>
      <c r="F130" s="1538">
        <v>0</v>
      </c>
      <c r="G130" s="1537">
        <v>20200000</v>
      </c>
      <c r="H130" s="1538">
        <v>0</v>
      </c>
    </row>
    <row r="131" spans="1:8" s="1533" customFormat="1" ht="17.25" customHeight="1" x14ac:dyDescent="0.25">
      <c r="A131" s="1531"/>
      <c r="B131" s="1531"/>
      <c r="C131" s="1536"/>
      <c r="D131" s="1589">
        <v>2804</v>
      </c>
      <c r="E131" s="1537">
        <v>21200000</v>
      </c>
      <c r="F131" s="1538">
        <v>0</v>
      </c>
      <c r="G131" s="1537">
        <v>21200000</v>
      </c>
      <c r="H131" s="1538">
        <v>0</v>
      </c>
    </row>
    <row r="132" spans="1:8" s="1533" customFormat="1" ht="17.25" customHeight="1" x14ac:dyDescent="0.25">
      <c r="A132" s="1531"/>
      <c r="B132" s="1531"/>
      <c r="C132" s="1536"/>
      <c r="D132" s="1589">
        <v>2824</v>
      </c>
      <c r="E132" s="1537">
        <v>1283800</v>
      </c>
      <c r="F132" s="1538">
        <v>0</v>
      </c>
      <c r="G132" s="1537">
        <v>1283800</v>
      </c>
      <c r="H132" s="1538">
        <v>0</v>
      </c>
    </row>
    <row r="133" spans="1:8" s="1533" customFormat="1" ht="17.25" customHeight="1" x14ac:dyDescent="0.25">
      <c r="A133" s="1531"/>
      <c r="B133" s="1531"/>
      <c r="C133" s="1536" t="s">
        <v>902</v>
      </c>
      <c r="D133" s="1589"/>
      <c r="E133" s="1537">
        <v>1000000</v>
      </c>
      <c r="F133" s="1538">
        <v>0</v>
      </c>
      <c r="G133" s="1537">
        <v>1000000</v>
      </c>
      <c r="H133" s="1538">
        <v>0</v>
      </c>
    </row>
    <row r="134" spans="1:8" s="1533" customFormat="1" ht="17.25" customHeight="1" x14ac:dyDescent="0.25">
      <c r="A134" s="1531"/>
      <c r="B134" s="1531"/>
      <c r="C134" s="1536"/>
      <c r="D134" s="1589">
        <v>2864</v>
      </c>
      <c r="E134" s="1537">
        <v>1000000</v>
      </c>
      <c r="F134" s="1538">
        <v>0</v>
      </c>
      <c r="G134" s="1537">
        <v>1000000</v>
      </c>
      <c r="H134" s="1538">
        <v>0</v>
      </c>
    </row>
    <row r="135" spans="1:8" s="1533" customFormat="1" ht="17.25" customHeight="1" x14ac:dyDescent="0.25">
      <c r="A135" s="1531"/>
      <c r="B135" s="1531"/>
      <c r="C135" s="1536" t="s">
        <v>859</v>
      </c>
      <c r="D135" s="1589"/>
      <c r="E135" s="1537">
        <v>1101627</v>
      </c>
      <c r="F135" s="1538">
        <v>0</v>
      </c>
      <c r="G135" s="1537">
        <v>1101627</v>
      </c>
      <c r="H135" s="1538">
        <v>0</v>
      </c>
    </row>
    <row r="136" spans="1:8" s="1533" customFormat="1" ht="17.25" customHeight="1" x14ac:dyDescent="0.25">
      <c r="A136" s="1531"/>
      <c r="B136" s="1531"/>
      <c r="C136" s="1536" t="s">
        <v>893</v>
      </c>
      <c r="D136" s="1589"/>
      <c r="E136" s="1537">
        <v>1101627</v>
      </c>
      <c r="F136" s="1538">
        <v>0</v>
      </c>
      <c r="G136" s="1537">
        <v>1101627</v>
      </c>
      <c r="H136" s="1538">
        <v>0</v>
      </c>
    </row>
    <row r="137" spans="1:8" s="1533" customFormat="1" ht="17.25" customHeight="1" x14ac:dyDescent="0.25">
      <c r="A137" s="1531"/>
      <c r="B137" s="1531"/>
      <c r="C137" s="1536" t="s">
        <v>894</v>
      </c>
      <c r="D137" s="1589"/>
      <c r="E137" s="1537">
        <v>1101627</v>
      </c>
      <c r="F137" s="1538">
        <v>0</v>
      </c>
      <c r="G137" s="1537">
        <v>1101627</v>
      </c>
      <c r="H137" s="1538">
        <v>0</v>
      </c>
    </row>
    <row r="138" spans="1:8" s="1533" customFormat="1" ht="17.25" customHeight="1" x14ac:dyDescent="0.25">
      <c r="A138" s="1531"/>
      <c r="B138" s="1531"/>
      <c r="C138" s="1536"/>
      <c r="D138" s="1589">
        <v>4927</v>
      </c>
      <c r="E138" s="1537">
        <v>4719</v>
      </c>
      <c r="F138" s="1538">
        <v>0</v>
      </c>
      <c r="G138" s="1537">
        <v>4719</v>
      </c>
      <c r="H138" s="1538">
        <v>0</v>
      </c>
    </row>
    <row r="139" spans="1:8" s="1533" customFormat="1" ht="17.25" customHeight="1" x14ac:dyDescent="0.25">
      <c r="A139" s="1531"/>
      <c r="B139" s="1531"/>
      <c r="C139" s="1536"/>
      <c r="D139" s="1589">
        <v>4944</v>
      </c>
      <c r="E139" s="1537">
        <v>1096908</v>
      </c>
      <c r="F139" s="1538">
        <v>0</v>
      </c>
      <c r="G139" s="1537">
        <v>1096908</v>
      </c>
      <c r="H139" s="1538">
        <v>0</v>
      </c>
    </row>
    <row r="140" spans="1:8" s="1533" customFormat="1" ht="17.25" customHeight="1" x14ac:dyDescent="0.25">
      <c r="A140" s="1536"/>
      <c r="B140" s="1536" t="s">
        <v>951</v>
      </c>
      <c r="C140" s="1531"/>
      <c r="D140" s="1592"/>
      <c r="E140" s="1537">
        <v>32741538</v>
      </c>
      <c r="F140" s="1538">
        <v>0</v>
      </c>
      <c r="G140" s="1537">
        <v>32741538</v>
      </c>
      <c r="H140" s="1538">
        <v>0</v>
      </c>
    </row>
    <row r="141" spans="1:8" s="1533" customFormat="1" ht="17.25" customHeight="1" x14ac:dyDescent="0.25">
      <c r="A141" s="1531"/>
      <c r="B141" s="1531"/>
      <c r="C141" s="1536" t="s">
        <v>858</v>
      </c>
      <c r="D141" s="1589"/>
      <c r="E141" s="1537">
        <v>32635050</v>
      </c>
      <c r="F141" s="1538">
        <v>0</v>
      </c>
      <c r="G141" s="1537">
        <v>32635050</v>
      </c>
      <c r="H141" s="1538">
        <v>0</v>
      </c>
    </row>
    <row r="142" spans="1:8" s="1533" customFormat="1" ht="17.25" customHeight="1" x14ac:dyDescent="0.25">
      <c r="A142" s="1531"/>
      <c r="B142" s="1531"/>
      <c r="C142" s="1536" t="s">
        <v>895</v>
      </c>
      <c r="D142" s="1589"/>
      <c r="E142" s="1537">
        <v>19899318</v>
      </c>
      <c r="F142" s="1538">
        <v>0</v>
      </c>
      <c r="G142" s="1537">
        <v>19899318</v>
      </c>
      <c r="H142" s="1538">
        <v>0</v>
      </c>
    </row>
    <row r="143" spans="1:8" s="1533" customFormat="1" ht="17.25" customHeight="1" x14ac:dyDescent="0.25">
      <c r="A143" s="1531"/>
      <c r="B143" s="1531"/>
      <c r="C143" s="1536" t="s">
        <v>905</v>
      </c>
      <c r="D143" s="1589"/>
      <c r="E143" s="1537">
        <v>19899318</v>
      </c>
      <c r="F143" s="1538">
        <v>0</v>
      </c>
      <c r="G143" s="1537">
        <v>19899318</v>
      </c>
      <c r="H143" s="1538">
        <v>0</v>
      </c>
    </row>
    <row r="144" spans="1:8" s="1533" customFormat="1" ht="17.25" customHeight="1" x14ac:dyDescent="0.25">
      <c r="A144" s="1531"/>
      <c r="B144" s="1531"/>
      <c r="C144" s="1536"/>
      <c r="D144" s="1589">
        <v>1001</v>
      </c>
      <c r="E144" s="1537">
        <v>10533335</v>
      </c>
      <c r="F144" s="1538">
        <v>0</v>
      </c>
      <c r="G144" s="1537">
        <v>10533335</v>
      </c>
      <c r="H144" s="1538">
        <v>0</v>
      </c>
    </row>
    <row r="145" spans="1:8" s="1533" customFormat="1" ht="17.25" customHeight="1" x14ac:dyDescent="0.25">
      <c r="A145" s="1531"/>
      <c r="B145" s="1531"/>
      <c r="C145" s="1536"/>
      <c r="D145" s="1589">
        <v>1003</v>
      </c>
      <c r="E145" s="1537">
        <v>6988383</v>
      </c>
      <c r="F145" s="1538">
        <v>0</v>
      </c>
      <c r="G145" s="1537">
        <v>6988383</v>
      </c>
      <c r="H145" s="1538">
        <v>0</v>
      </c>
    </row>
    <row r="146" spans="1:8" s="1533" customFormat="1" ht="17.25" customHeight="1" x14ac:dyDescent="0.25">
      <c r="A146" s="1531"/>
      <c r="B146" s="1531"/>
      <c r="C146" s="1536"/>
      <c r="D146" s="1589">
        <v>1006</v>
      </c>
      <c r="E146" s="1537">
        <v>2377600</v>
      </c>
      <c r="F146" s="1538">
        <v>0</v>
      </c>
      <c r="G146" s="1537">
        <v>2377600</v>
      </c>
      <c r="H146" s="1538">
        <v>0</v>
      </c>
    </row>
    <row r="147" spans="1:8" s="1533" customFormat="1" ht="17.25" customHeight="1" x14ac:dyDescent="0.25">
      <c r="A147" s="1531"/>
      <c r="B147" s="1531"/>
      <c r="C147" s="1536" t="s">
        <v>897</v>
      </c>
      <c r="D147" s="1589"/>
      <c r="E147" s="1537">
        <v>11935685</v>
      </c>
      <c r="F147" s="1538">
        <v>0</v>
      </c>
      <c r="G147" s="1537">
        <v>11935685</v>
      </c>
      <c r="H147" s="1538">
        <v>0</v>
      </c>
    </row>
    <row r="148" spans="1:8" s="1533" customFormat="1" ht="17.25" customHeight="1" x14ac:dyDescent="0.25">
      <c r="A148" s="1531"/>
      <c r="B148" s="1531"/>
      <c r="C148" s="1536" t="s">
        <v>898</v>
      </c>
      <c r="D148" s="1589"/>
      <c r="E148" s="1537">
        <v>11935685</v>
      </c>
      <c r="F148" s="1538">
        <v>0</v>
      </c>
      <c r="G148" s="1537">
        <v>11935685</v>
      </c>
      <c r="H148" s="1538">
        <v>0</v>
      </c>
    </row>
    <row r="149" spans="1:8" s="1533" customFormat="1" ht="17.25" customHeight="1" x14ac:dyDescent="0.25">
      <c r="A149" s="1531"/>
      <c r="B149" s="1531"/>
      <c r="C149" s="1536"/>
      <c r="D149" s="1589">
        <v>1602</v>
      </c>
      <c r="E149" s="1537">
        <v>11935685</v>
      </c>
      <c r="F149" s="1538">
        <v>0</v>
      </c>
      <c r="G149" s="1537">
        <v>11935685</v>
      </c>
      <c r="H149" s="1538">
        <v>0</v>
      </c>
    </row>
    <row r="150" spans="1:8" s="1533" customFormat="1" ht="17.25" customHeight="1" x14ac:dyDescent="0.25">
      <c r="A150" s="1531"/>
      <c r="B150" s="1531"/>
      <c r="C150" s="1536" t="s">
        <v>899</v>
      </c>
      <c r="D150" s="1589"/>
      <c r="E150" s="1537">
        <v>800047</v>
      </c>
      <c r="F150" s="1538">
        <v>0</v>
      </c>
      <c r="G150" s="1537">
        <v>800047</v>
      </c>
      <c r="H150" s="1538">
        <v>0</v>
      </c>
    </row>
    <row r="151" spans="1:8" s="1533" customFormat="1" ht="17.25" customHeight="1" x14ac:dyDescent="0.25">
      <c r="A151" s="1531"/>
      <c r="B151" s="1531"/>
      <c r="C151" s="1536" t="s">
        <v>900</v>
      </c>
      <c r="D151" s="1589"/>
      <c r="E151" s="1537">
        <v>800047</v>
      </c>
      <c r="F151" s="1538">
        <v>0</v>
      </c>
      <c r="G151" s="1537">
        <v>800047</v>
      </c>
      <c r="H151" s="1538">
        <v>0</v>
      </c>
    </row>
    <row r="152" spans="1:8" s="1533" customFormat="1" ht="17.25" customHeight="1" x14ac:dyDescent="0.25">
      <c r="A152" s="1531"/>
      <c r="B152" s="1531"/>
      <c r="C152" s="1536"/>
      <c r="D152" s="1589">
        <v>1701</v>
      </c>
      <c r="E152" s="1537">
        <v>800047</v>
      </c>
      <c r="F152" s="1538">
        <v>0</v>
      </c>
      <c r="G152" s="1537">
        <v>800047</v>
      </c>
      <c r="H152" s="1538">
        <v>0</v>
      </c>
    </row>
    <row r="153" spans="1:8" s="1533" customFormat="1" ht="17.25" customHeight="1" x14ac:dyDescent="0.25">
      <c r="A153" s="1531"/>
      <c r="B153" s="1531"/>
      <c r="C153" s="1536" t="s">
        <v>859</v>
      </c>
      <c r="D153" s="1589"/>
      <c r="E153" s="1537">
        <v>106488</v>
      </c>
      <c r="F153" s="1538">
        <v>0</v>
      </c>
      <c r="G153" s="1537">
        <v>106488</v>
      </c>
      <c r="H153" s="1538">
        <v>0</v>
      </c>
    </row>
    <row r="154" spans="1:8" s="1533" customFormat="1" ht="17.25" customHeight="1" x14ac:dyDescent="0.25">
      <c r="A154" s="1531"/>
      <c r="B154" s="1531"/>
      <c r="C154" s="1536" t="s">
        <v>893</v>
      </c>
      <c r="D154" s="1589"/>
      <c r="E154" s="1537">
        <v>106488</v>
      </c>
      <c r="F154" s="1538">
        <v>0</v>
      </c>
      <c r="G154" s="1537">
        <v>106488</v>
      </c>
      <c r="H154" s="1538">
        <v>0</v>
      </c>
    </row>
    <row r="155" spans="1:8" s="1533" customFormat="1" ht="17.25" customHeight="1" x14ac:dyDescent="0.25">
      <c r="A155" s="1531"/>
      <c r="B155" s="1531"/>
      <c r="C155" s="1536" t="s">
        <v>894</v>
      </c>
      <c r="D155" s="1589"/>
      <c r="E155" s="1537">
        <v>106488</v>
      </c>
      <c r="F155" s="1538">
        <v>0</v>
      </c>
      <c r="G155" s="1537">
        <v>106488</v>
      </c>
      <c r="H155" s="1538">
        <v>0</v>
      </c>
    </row>
    <row r="156" spans="1:8" s="1533" customFormat="1" ht="17.25" customHeight="1" x14ac:dyDescent="0.25">
      <c r="A156" s="1531"/>
      <c r="B156" s="1531"/>
      <c r="C156" s="1536"/>
      <c r="D156" s="1589">
        <v>4944</v>
      </c>
      <c r="E156" s="1537">
        <v>106488</v>
      </c>
      <c r="F156" s="1538">
        <v>0</v>
      </c>
      <c r="G156" s="1537">
        <v>106488</v>
      </c>
      <c r="H156" s="1538">
        <v>0</v>
      </c>
    </row>
    <row r="157" spans="1:8" s="1533" customFormat="1" ht="17.25" customHeight="1" x14ac:dyDescent="0.25">
      <c r="A157" s="1536"/>
      <c r="B157" s="1536" t="s">
        <v>952</v>
      </c>
      <c r="C157" s="1531"/>
      <c r="D157" s="1592"/>
      <c r="E157" s="1537">
        <v>730083862</v>
      </c>
      <c r="F157" s="1538">
        <v>0</v>
      </c>
      <c r="G157" s="1537">
        <v>730083862</v>
      </c>
      <c r="H157" s="1538">
        <v>0</v>
      </c>
    </row>
    <row r="158" spans="1:8" s="1533" customFormat="1" ht="17.25" customHeight="1" x14ac:dyDescent="0.25">
      <c r="A158" s="1531"/>
      <c r="B158" s="1531"/>
      <c r="C158" s="1536" t="s">
        <v>858</v>
      </c>
      <c r="D158" s="1589"/>
      <c r="E158" s="1537">
        <v>730025401</v>
      </c>
      <c r="F158" s="1538">
        <v>0</v>
      </c>
      <c r="G158" s="1537">
        <v>730025401</v>
      </c>
      <c r="H158" s="1538">
        <v>0</v>
      </c>
    </row>
    <row r="159" spans="1:8" s="1533" customFormat="1" ht="17.25" customHeight="1" x14ac:dyDescent="0.25">
      <c r="A159" s="1531"/>
      <c r="B159" s="1531"/>
      <c r="C159" s="1536" t="s">
        <v>897</v>
      </c>
      <c r="D159" s="1589"/>
      <c r="E159" s="1537">
        <v>164541919</v>
      </c>
      <c r="F159" s="1538">
        <v>0</v>
      </c>
      <c r="G159" s="1537">
        <v>164541919</v>
      </c>
      <c r="H159" s="1538">
        <v>0</v>
      </c>
    </row>
    <row r="160" spans="1:8" s="1533" customFormat="1" ht="17.25" customHeight="1" x14ac:dyDescent="0.25">
      <c r="A160" s="1531"/>
      <c r="B160" s="1531"/>
      <c r="C160" s="1536" t="s">
        <v>903</v>
      </c>
      <c r="D160" s="1589"/>
      <c r="E160" s="1537">
        <v>162065119</v>
      </c>
      <c r="F160" s="1538">
        <v>0</v>
      </c>
      <c r="G160" s="1537">
        <v>162065119</v>
      </c>
      <c r="H160" s="1538">
        <v>0</v>
      </c>
    </row>
    <row r="161" spans="1:8" s="1533" customFormat="1" ht="17.25" customHeight="1" x14ac:dyDescent="0.25">
      <c r="A161" s="1531"/>
      <c r="B161" s="1531"/>
      <c r="C161" s="1536"/>
      <c r="D161" s="1589">
        <v>1558</v>
      </c>
      <c r="E161" s="1537">
        <v>162065119</v>
      </c>
      <c r="F161" s="1538">
        <v>0</v>
      </c>
      <c r="G161" s="1537">
        <v>162065119</v>
      </c>
      <c r="H161" s="1538">
        <v>0</v>
      </c>
    </row>
    <row r="162" spans="1:8" s="1533" customFormat="1" ht="17.25" customHeight="1" x14ac:dyDescent="0.25">
      <c r="A162" s="1531"/>
      <c r="B162" s="1531"/>
      <c r="C162" s="1536" t="s">
        <v>898</v>
      </c>
      <c r="D162" s="1589"/>
      <c r="E162" s="1537">
        <v>2476800</v>
      </c>
      <c r="F162" s="1538">
        <v>0</v>
      </c>
      <c r="G162" s="1537">
        <v>2476800</v>
      </c>
      <c r="H162" s="1538">
        <v>0</v>
      </c>
    </row>
    <row r="163" spans="1:8" s="1533" customFormat="1" ht="17.25" customHeight="1" x14ac:dyDescent="0.25">
      <c r="A163" s="1531"/>
      <c r="B163" s="1531"/>
      <c r="C163" s="1536"/>
      <c r="D163" s="1589">
        <v>1603</v>
      </c>
      <c r="E163" s="1537">
        <v>2476800</v>
      </c>
      <c r="F163" s="1538">
        <v>0</v>
      </c>
      <c r="G163" s="1537">
        <v>2476800</v>
      </c>
      <c r="H163" s="1538">
        <v>0</v>
      </c>
    </row>
    <row r="164" spans="1:8" s="1533" customFormat="1" ht="17.25" customHeight="1" x14ac:dyDescent="0.25">
      <c r="A164" s="1531"/>
      <c r="B164" s="1531"/>
      <c r="C164" s="1536" t="s">
        <v>888</v>
      </c>
      <c r="D164" s="1589"/>
      <c r="E164" s="1537">
        <v>565483482</v>
      </c>
      <c r="F164" s="1538">
        <v>0</v>
      </c>
      <c r="G164" s="1537">
        <v>565483482</v>
      </c>
      <c r="H164" s="1538">
        <v>0</v>
      </c>
    </row>
    <row r="165" spans="1:8" s="1533" customFormat="1" ht="17.25" customHeight="1" x14ac:dyDescent="0.25">
      <c r="A165" s="1531"/>
      <c r="B165" s="1531"/>
      <c r="C165" s="1536" t="s">
        <v>904</v>
      </c>
      <c r="D165" s="1589"/>
      <c r="E165" s="1537">
        <v>556135482</v>
      </c>
      <c r="F165" s="1538">
        <v>0</v>
      </c>
      <c r="G165" s="1537">
        <v>556135482</v>
      </c>
      <c r="H165" s="1538">
        <v>0</v>
      </c>
    </row>
    <row r="166" spans="1:8" s="1533" customFormat="1" ht="17.25" customHeight="1" x14ac:dyDescent="0.25">
      <c r="A166" s="1531"/>
      <c r="B166" s="1531"/>
      <c r="C166" s="1536"/>
      <c r="D166" s="1589">
        <v>2618</v>
      </c>
      <c r="E166" s="1537">
        <v>556135482</v>
      </c>
      <c r="F166" s="1538">
        <v>0</v>
      </c>
      <c r="G166" s="1537">
        <v>556135482</v>
      </c>
      <c r="H166" s="1538">
        <v>0</v>
      </c>
    </row>
    <row r="167" spans="1:8" s="1533" customFormat="1" ht="17.25" customHeight="1" x14ac:dyDescent="0.25">
      <c r="A167" s="1531"/>
      <c r="B167" s="1531"/>
      <c r="C167" s="1536" t="s">
        <v>890</v>
      </c>
      <c r="D167" s="1589"/>
      <c r="E167" s="1537">
        <v>9348000</v>
      </c>
      <c r="F167" s="1538">
        <v>0</v>
      </c>
      <c r="G167" s="1537">
        <v>9348000</v>
      </c>
      <c r="H167" s="1538">
        <v>0</v>
      </c>
    </row>
    <row r="168" spans="1:8" s="1533" customFormat="1" ht="17.25" customHeight="1" x14ac:dyDescent="0.25">
      <c r="A168" s="1531"/>
      <c r="B168" s="1531"/>
      <c r="C168" s="1536"/>
      <c r="D168" s="1589">
        <v>2802</v>
      </c>
      <c r="E168" s="1537">
        <v>9348000</v>
      </c>
      <c r="F168" s="1538">
        <v>0</v>
      </c>
      <c r="G168" s="1537">
        <v>9348000</v>
      </c>
      <c r="H168" s="1538">
        <v>0</v>
      </c>
    </row>
    <row r="169" spans="1:8" s="1533" customFormat="1" ht="17.25" customHeight="1" x14ac:dyDescent="0.25">
      <c r="A169" s="1531"/>
      <c r="B169" s="1531"/>
      <c r="C169" s="1536" t="s">
        <v>859</v>
      </c>
      <c r="D169" s="1589"/>
      <c r="E169" s="1537">
        <v>58461</v>
      </c>
      <c r="F169" s="1538">
        <v>0</v>
      </c>
      <c r="G169" s="1537">
        <v>58461</v>
      </c>
      <c r="H169" s="1538">
        <v>0</v>
      </c>
    </row>
    <row r="170" spans="1:8" s="1533" customFormat="1" ht="17.25" customHeight="1" x14ac:dyDescent="0.25">
      <c r="A170" s="1531"/>
      <c r="B170" s="1531"/>
      <c r="C170" s="1536" t="s">
        <v>893</v>
      </c>
      <c r="D170" s="1589"/>
      <c r="E170" s="1537">
        <v>58461</v>
      </c>
      <c r="F170" s="1538">
        <v>0</v>
      </c>
      <c r="G170" s="1537">
        <v>58461</v>
      </c>
      <c r="H170" s="1538">
        <v>0</v>
      </c>
    </row>
    <row r="171" spans="1:8" s="1533" customFormat="1" ht="17.25" customHeight="1" x14ac:dyDescent="0.25">
      <c r="A171" s="1531"/>
      <c r="B171" s="1531"/>
      <c r="C171" s="1536" t="s">
        <v>894</v>
      </c>
      <c r="D171" s="1589"/>
      <c r="E171" s="1537">
        <v>58461</v>
      </c>
      <c r="F171" s="1538">
        <v>0</v>
      </c>
      <c r="G171" s="1537">
        <v>58461</v>
      </c>
      <c r="H171" s="1538">
        <v>0</v>
      </c>
    </row>
    <row r="172" spans="1:8" s="1533" customFormat="1" ht="17.25" customHeight="1" x14ac:dyDescent="0.25">
      <c r="A172" s="1531"/>
      <c r="B172" s="1531"/>
      <c r="C172" s="1536"/>
      <c r="D172" s="1589">
        <v>4944</v>
      </c>
      <c r="E172" s="1537">
        <v>58461</v>
      </c>
      <c r="F172" s="1538">
        <v>0</v>
      </c>
      <c r="G172" s="1537">
        <v>58461</v>
      </c>
      <c r="H172" s="1538">
        <v>0</v>
      </c>
    </row>
    <row r="173" spans="1:8" s="1533" customFormat="1" ht="17.25" customHeight="1" x14ac:dyDescent="0.25">
      <c r="A173" s="1536"/>
      <c r="B173" s="1536" t="s">
        <v>953</v>
      </c>
      <c r="C173" s="1531"/>
      <c r="D173" s="1592"/>
      <c r="E173" s="1537">
        <v>2243520</v>
      </c>
      <c r="F173" s="1538">
        <v>0</v>
      </c>
      <c r="G173" s="1537">
        <v>2243520</v>
      </c>
      <c r="H173" s="1538">
        <v>0</v>
      </c>
    </row>
    <row r="174" spans="1:8" s="1533" customFormat="1" ht="17.25" customHeight="1" x14ac:dyDescent="0.25">
      <c r="A174" s="1531"/>
      <c r="B174" s="1531"/>
      <c r="C174" s="1536" t="s">
        <v>858</v>
      </c>
      <c r="D174" s="1589"/>
      <c r="E174" s="1537">
        <v>2243520</v>
      </c>
      <c r="F174" s="1538">
        <v>0</v>
      </c>
      <c r="G174" s="1537">
        <v>2243520</v>
      </c>
      <c r="H174" s="1538">
        <v>0</v>
      </c>
    </row>
    <row r="175" spans="1:8" s="1533" customFormat="1" ht="17.25" customHeight="1" x14ac:dyDescent="0.25">
      <c r="A175" s="1531"/>
      <c r="B175" s="1531"/>
      <c r="C175" s="1536" t="s">
        <v>897</v>
      </c>
      <c r="D175" s="1589"/>
      <c r="E175" s="1537">
        <v>2243520</v>
      </c>
      <c r="F175" s="1538">
        <v>0</v>
      </c>
      <c r="G175" s="1537">
        <v>2243520</v>
      </c>
      <c r="H175" s="1538">
        <v>0</v>
      </c>
    </row>
    <row r="176" spans="1:8" s="1533" customFormat="1" ht="17.25" customHeight="1" x14ac:dyDescent="0.25">
      <c r="A176" s="1531"/>
      <c r="B176" s="1531"/>
      <c r="C176" s="1536" t="s">
        <v>898</v>
      </c>
      <c r="D176" s="1589"/>
      <c r="E176" s="1537">
        <v>2243520</v>
      </c>
      <c r="F176" s="1538">
        <v>0</v>
      </c>
      <c r="G176" s="1537">
        <v>2243520</v>
      </c>
      <c r="H176" s="1538">
        <v>0</v>
      </c>
    </row>
    <row r="177" spans="1:8" s="1533" customFormat="1" ht="17.25" customHeight="1" x14ac:dyDescent="0.25">
      <c r="A177" s="1531"/>
      <c r="B177" s="1531"/>
      <c r="C177" s="1536"/>
      <c r="D177" s="1589">
        <v>1603</v>
      </c>
      <c r="E177" s="1537">
        <v>2243520</v>
      </c>
      <c r="F177" s="1538">
        <v>0</v>
      </c>
      <c r="G177" s="1537">
        <v>2243520</v>
      </c>
      <c r="H177" s="1538">
        <v>0</v>
      </c>
    </row>
    <row r="178" spans="1:8" s="1533" customFormat="1" ht="17.25" customHeight="1" x14ac:dyDescent="0.25">
      <c r="A178" s="1536" t="s">
        <v>875</v>
      </c>
      <c r="B178" s="1536"/>
      <c r="C178" s="1531"/>
      <c r="D178" s="1592"/>
      <c r="E178" s="1537">
        <v>243159165347</v>
      </c>
      <c r="F178" s="1537">
        <v>1047324227</v>
      </c>
      <c r="G178" s="1537">
        <v>61719657416</v>
      </c>
      <c r="H178" s="1537">
        <v>180392183704</v>
      </c>
    </row>
    <row r="179" spans="1:8" s="1533" customFormat="1" ht="17.25" customHeight="1" x14ac:dyDescent="0.25">
      <c r="A179" s="1536"/>
      <c r="B179" s="1536" t="s">
        <v>876</v>
      </c>
      <c r="C179" s="1531"/>
      <c r="D179" s="1592"/>
      <c r="E179" s="1537">
        <v>1001500</v>
      </c>
      <c r="F179" s="1538">
        <v>0</v>
      </c>
      <c r="G179" s="1537">
        <v>1001500</v>
      </c>
      <c r="H179" s="1538">
        <v>0</v>
      </c>
    </row>
    <row r="180" spans="1:8" s="1533" customFormat="1" ht="17.25" customHeight="1" x14ac:dyDescent="0.25">
      <c r="A180" s="1531"/>
      <c r="B180" s="1531"/>
      <c r="C180" s="1536" t="s">
        <v>858</v>
      </c>
      <c r="D180" s="1589"/>
      <c r="E180" s="1537">
        <v>1000000</v>
      </c>
      <c r="F180" s="1538">
        <v>0</v>
      </c>
      <c r="G180" s="1537">
        <v>1000000</v>
      </c>
      <c r="H180" s="1538">
        <v>0</v>
      </c>
    </row>
    <row r="181" spans="1:8" s="1533" customFormat="1" ht="17.25" customHeight="1" x14ac:dyDescent="0.25">
      <c r="A181" s="1531"/>
      <c r="B181" s="1531"/>
      <c r="C181" s="1536" t="s">
        <v>888</v>
      </c>
      <c r="D181" s="1589"/>
      <c r="E181" s="1537">
        <v>1000000</v>
      </c>
      <c r="F181" s="1538">
        <v>0</v>
      </c>
      <c r="G181" s="1537">
        <v>1000000</v>
      </c>
      <c r="H181" s="1538">
        <v>0</v>
      </c>
    </row>
    <row r="182" spans="1:8" s="1533" customFormat="1" ht="17.25" customHeight="1" x14ac:dyDescent="0.25">
      <c r="A182" s="1531"/>
      <c r="B182" s="1531"/>
      <c r="C182" s="1536" t="s">
        <v>902</v>
      </c>
      <c r="D182" s="1589"/>
      <c r="E182" s="1537">
        <v>1000000</v>
      </c>
      <c r="F182" s="1538">
        <v>0</v>
      </c>
      <c r="G182" s="1537">
        <v>1000000</v>
      </c>
      <c r="H182" s="1538">
        <v>0</v>
      </c>
    </row>
    <row r="183" spans="1:8" s="1533" customFormat="1" ht="17.25" customHeight="1" x14ac:dyDescent="0.25">
      <c r="A183" s="1531"/>
      <c r="B183" s="1531"/>
      <c r="C183" s="1536"/>
      <c r="D183" s="1589">
        <v>2864</v>
      </c>
      <c r="E183" s="1537">
        <v>1000000</v>
      </c>
      <c r="F183" s="1538">
        <v>0</v>
      </c>
      <c r="G183" s="1537">
        <v>1000000</v>
      </c>
      <c r="H183" s="1538">
        <v>0</v>
      </c>
    </row>
    <row r="184" spans="1:8" s="1533" customFormat="1" ht="17.25" customHeight="1" x14ac:dyDescent="0.25">
      <c r="A184" s="1531"/>
      <c r="B184" s="1531"/>
      <c r="C184" s="1536" t="s">
        <v>859</v>
      </c>
      <c r="D184" s="1589"/>
      <c r="E184" s="1537">
        <v>1500</v>
      </c>
      <c r="F184" s="1538">
        <v>0</v>
      </c>
      <c r="G184" s="1537">
        <v>1500</v>
      </c>
      <c r="H184" s="1538">
        <v>0</v>
      </c>
    </row>
    <row r="185" spans="1:8" s="1533" customFormat="1" ht="17.25" customHeight="1" x14ac:dyDescent="0.25">
      <c r="A185" s="1531"/>
      <c r="B185" s="1531"/>
      <c r="C185" s="1536" t="s">
        <v>893</v>
      </c>
      <c r="D185" s="1589"/>
      <c r="E185" s="1537">
        <v>1500</v>
      </c>
      <c r="F185" s="1538">
        <v>0</v>
      </c>
      <c r="G185" s="1537">
        <v>1500</v>
      </c>
      <c r="H185" s="1538">
        <v>0</v>
      </c>
    </row>
    <row r="186" spans="1:8" s="1533" customFormat="1" ht="17.25" customHeight="1" x14ac:dyDescent="0.25">
      <c r="A186" s="1531"/>
      <c r="B186" s="1531"/>
      <c r="C186" s="1536" t="s">
        <v>894</v>
      </c>
      <c r="D186" s="1589"/>
      <c r="E186" s="1537">
        <v>1500</v>
      </c>
      <c r="F186" s="1538">
        <v>0</v>
      </c>
      <c r="G186" s="1537">
        <v>1500</v>
      </c>
      <c r="H186" s="1538">
        <v>0</v>
      </c>
    </row>
    <row r="187" spans="1:8" s="1533" customFormat="1" ht="17.25" customHeight="1" x14ac:dyDescent="0.25">
      <c r="A187" s="1531"/>
      <c r="B187" s="1531"/>
      <c r="C187" s="1536"/>
      <c r="D187" s="1589">
        <v>4944</v>
      </c>
      <c r="E187" s="1537">
        <v>1500</v>
      </c>
      <c r="F187" s="1538">
        <v>0</v>
      </c>
      <c r="G187" s="1537">
        <v>1500</v>
      </c>
      <c r="H187" s="1538">
        <v>0</v>
      </c>
    </row>
    <row r="188" spans="1:8" s="1533" customFormat="1" ht="17.25" customHeight="1" x14ac:dyDescent="0.25">
      <c r="A188" s="1536"/>
      <c r="B188" s="1536" t="s">
        <v>877</v>
      </c>
      <c r="C188" s="1531"/>
      <c r="D188" s="1592"/>
      <c r="E188" s="1537">
        <v>1160295544</v>
      </c>
      <c r="F188" s="1538">
        <v>0</v>
      </c>
      <c r="G188" s="1537">
        <v>830975417</v>
      </c>
      <c r="H188" s="1537">
        <v>329320127</v>
      </c>
    </row>
    <row r="189" spans="1:8" s="1533" customFormat="1" ht="17.25" customHeight="1" x14ac:dyDescent="0.25">
      <c r="A189" s="1531"/>
      <c r="B189" s="1531"/>
      <c r="C189" s="1536" t="s">
        <v>858</v>
      </c>
      <c r="D189" s="1589"/>
      <c r="E189" s="1537">
        <v>64369000</v>
      </c>
      <c r="F189" s="1538">
        <v>0</v>
      </c>
      <c r="G189" s="1537">
        <v>64369000</v>
      </c>
      <c r="H189" s="1538">
        <v>0</v>
      </c>
    </row>
    <row r="190" spans="1:8" s="1533" customFormat="1" ht="17.25" customHeight="1" x14ac:dyDescent="0.25">
      <c r="A190" s="1531"/>
      <c r="B190" s="1531"/>
      <c r="C190" s="1536" t="s">
        <v>888</v>
      </c>
      <c r="D190" s="1589"/>
      <c r="E190" s="1537">
        <v>64369000</v>
      </c>
      <c r="F190" s="1538">
        <v>0</v>
      </c>
      <c r="G190" s="1537">
        <v>64369000</v>
      </c>
      <c r="H190" s="1538">
        <v>0</v>
      </c>
    </row>
    <row r="191" spans="1:8" s="1533" customFormat="1" ht="17.25" customHeight="1" x14ac:dyDescent="0.25">
      <c r="A191" s="1531"/>
      <c r="B191" s="1531"/>
      <c r="C191" s="1536" t="s">
        <v>906</v>
      </c>
      <c r="D191" s="1589"/>
      <c r="E191" s="1537">
        <v>19543000</v>
      </c>
      <c r="F191" s="1538">
        <v>0</v>
      </c>
      <c r="G191" s="1537">
        <v>19543000</v>
      </c>
      <c r="H191" s="1538">
        <v>0</v>
      </c>
    </row>
    <row r="192" spans="1:8" s="1533" customFormat="1" ht="17.25" customHeight="1" x14ac:dyDescent="0.25">
      <c r="A192" s="1531"/>
      <c r="B192" s="1531"/>
      <c r="C192" s="1536"/>
      <c r="D192" s="1589">
        <v>2716</v>
      </c>
      <c r="E192" s="1537">
        <v>19543000</v>
      </c>
      <c r="F192" s="1538">
        <v>0</v>
      </c>
      <c r="G192" s="1537">
        <v>19543000</v>
      </c>
      <c r="H192" s="1538">
        <v>0</v>
      </c>
    </row>
    <row r="193" spans="1:8" s="1533" customFormat="1" ht="17.25" customHeight="1" x14ac:dyDescent="0.25">
      <c r="A193" s="1531"/>
      <c r="B193" s="1531"/>
      <c r="C193" s="1536" t="s">
        <v>889</v>
      </c>
      <c r="D193" s="1589"/>
      <c r="E193" s="1537">
        <v>5304000</v>
      </c>
      <c r="F193" s="1538">
        <v>0</v>
      </c>
      <c r="G193" s="1537">
        <v>5304000</v>
      </c>
      <c r="H193" s="1538">
        <v>0</v>
      </c>
    </row>
    <row r="194" spans="1:8" s="1533" customFormat="1" ht="17.25" customHeight="1" x14ac:dyDescent="0.25">
      <c r="A194" s="1531"/>
      <c r="B194" s="1531"/>
      <c r="C194" s="1536"/>
      <c r="D194" s="1589">
        <v>2771</v>
      </c>
      <c r="E194" s="1537">
        <v>5304000</v>
      </c>
      <c r="F194" s="1538">
        <v>0</v>
      </c>
      <c r="G194" s="1537">
        <v>5304000</v>
      </c>
      <c r="H194" s="1538">
        <v>0</v>
      </c>
    </row>
    <row r="195" spans="1:8" s="1533" customFormat="1" ht="17.25" customHeight="1" x14ac:dyDescent="0.25">
      <c r="A195" s="1531"/>
      <c r="B195" s="1531"/>
      <c r="C195" s="1536" t="s">
        <v>902</v>
      </c>
      <c r="D195" s="1589"/>
      <c r="E195" s="1537">
        <v>39522000</v>
      </c>
      <c r="F195" s="1538">
        <v>0</v>
      </c>
      <c r="G195" s="1537">
        <v>39522000</v>
      </c>
      <c r="H195" s="1538">
        <v>0</v>
      </c>
    </row>
    <row r="196" spans="1:8" s="1533" customFormat="1" ht="17.25" customHeight="1" x14ac:dyDescent="0.25">
      <c r="A196" s="1531"/>
      <c r="B196" s="1531"/>
      <c r="C196" s="1536"/>
      <c r="D196" s="1589">
        <v>2853</v>
      </c>
      <c r="E196" s="1537">
        <v>39522000</v>
      </c>
      <c r="F196" s="1538">
        <v>0</v>
      </c>
      <c r="G196" s="1537">
        <v>39522000</v>
      </c>
      <c r="H196" s="1538">
        <v>0</v>
      </c>
    </row>
    <row r="197" spans="1:8" s="1533" customFormat="1" ht="17.25" customHeight="1" x14ac:dyDescent="0.25">
      <c r="A197" s="1531"/>
      <c r="B197" s="1531"/>
      <c r="C197" s="1536" t="s">
        <v>859</v>
      </c>
      <c r="D197" s="1589"/>
      <c r="E197" s="1537">
        <v>1095926544</v>
      </c>
      <c r="F197" s="1538">
        <v>0</v>
      </c>
      <c r="G197" s="1537">
        <v>766606417</v>
      </c>
      <c r="H197" s="1537">
        <v>329320127</v>
      </c>
    </row>
    <row r="198" spans="1:8" s="1533" customFormat="1" ht="17.25" customHeight="1" x14ac:dyDescent="0.25">
      <c r="A198" s="1531"/>
      <c r="B198" s="1531"/>
      <c r="C198" s="1536" t="s">
        <v>891</v>
      </c>
      <c r="D198" s="1589"/>
      <c r="E198" s="1537">
        <v>333351028</v>
      </c>
      <c r="F198" s="1538">
        <v>0</v>
      </c>
      <c r="G198" s="1537">
        <v>19189000</v>
      </c>
      <c r="H198" s="1537">
        <v>314162028</v>
      </c>
    </row>
    <row r="199" spans="1:8" s="1533" customFormat="1" ht="17.25" customHeight="1" x14ac:dyDescent="0.25">
      <c r="A199" s="1531"/>
      <c r="B199" s="1531"/>
      <c r="C199" s="1536" t="s">
        <v>892</v>
      </c>
      <c r="D199" s="1589"/>
      <c r="E199" s="1537">
        <v>333351028</v>
      </c>
      <c r="F199" s="1538">
        <v>0</v>
      </c>
      <c r="G199" s="1537">
        <v>19189000</v>
      </c>
      <c r="H199" s="1537">
        <v>314162028</v>
      </c>
    </row>
    <row r="200" spans="1:8" s="1533" customFormat="1" ht="17.25" customHeight="1" x14ac:dyDescent="0.25">
      <c r="A200" s="1531"/>
      <c r="B200" s="1531"/>
      <c r="C200" s="1536"/>
      <c r="D200" s="1589">
        <v>4252</v>
      </c>
      <c r="E200" s="1537">
        <v>400000</v>
      </c>
      <c r="F200" s="1538">
        <v>0</v>
      </c>
      <c r="G200" s="1538">
        <v>0</v>
      </c>
      <c r="H200" s="1537">
        <v>400000</v>
      </c>
    </row>
    <row r="201" spans="1:8" s="1533" customFormat="1" ht="17.25" customHeight="1" x14ac:dyDescent="0.25">
      <c r="A201" s="1531"/>
      <c r="B201" s="1531"/>
      <c r="C201" s="1536"/>
      <c r="D201" s="1589">
        <v>4263</v>
      </c>
      <c r="E201" s="1537">
        <v>4500000</v>
      </c>
      <c r="F201" s="1538">
        <v>0</v>
      </c>
      <c r="G201" s="1537">
        <v>4500000</v>
      </c>
      <c r="H201" s="1538">
        <v>0</v>
      </c>
    </row>
    <row r="202" spans="1:8" s="1533" customFormat="1" ht="17.25" customHeight="1" x14ac:dyDescent="0.25">
      <c r="A202" s="1531"/>
      <c r="B202" s="1531"/>
      <c r="C202" s="1536"/>
      <c r="D202" s="1589">
        <v>4278</v>
      </c>
      <c r="E202" s="1537">
        <v>311262028</v>
      </c>
      <c r="F202" s="1538">
        <v>0</v>
      </c>
      <c r="G202" s="1538">
        <v>0</v>
      </c>
      <c r="H202" s="1537">
        <v>311262028</v>
      </c>
    </row>
    <row r="203" spans="1:8" s="1533" customFormat="1" ht="17.25" customHeight="1" x14ac:dyDescent="0.25">
      <c r="A203" s="1531"/>
      <c r="B203" s="1531"/>
      <c r="C203" s="1536"/>
      <c r="D203" s="1589">
        <v>4299</v>
      </c>
      <c r="E203" s="1537">
        <v>17189000</v>
      </c>
      <c r="F203" s="1538">
        <v>0</v>
      </c>
      <c r="G203" s="1537">
        <v>14689000</v>
      </c>
      <c r="H203" s="1537">
        <v>2500000</v>
      </c>
    </row>
    <row r="204" spans="1:8" s="1533" customFormat="1" ht="17.25" customHeight="1" x14ac:dyDescent="0.25">
      <c r="A204" s="1531"/>
      <c r="B204" s="1531"/>
      <c r="C204" s="1536" t="s">
        <v>907</v>
      </c>
      <c r="D204" s="1589"/>
      <c r="E204" s="1537">
        <v>747200000</v>
      </c>
      <c r="F204" s="1538">
        <v>0</v>
      </c>
      <c r="G204" s="1537">
        <v>747200000</v>
      </c>
      <c r="H204" s="1538">
        <v>0</v>
      </c>
    </row>
    <row r="205" spans="1:8" s="1533" customFormat="1" ht="17.25" customHeight="1" x14ac:dyDescent="0.25">
      <c r="A205" s="1531"/>
      <c r="B205" s="1531"/>
      <c r="C205" s="1536" t="s">
        <v>908</v>
      </c>
      <c r="D205" s="1589"/>
      <c r="E205" s="1537">
        <v>747200000</v>
      </c>
      <c r="F205" s="1538">
        <v>0</v>
      </c>
      <c r="G205" s="1537">
        <v>747200000</v>
      </c>
      <c r="H205" s="1538">
        <v>0</v>
      </c>
    </row>
    <row r="206" spans="1:8" s="1533" customFormat="1" ht="17.25" customHeight="1" x14ac:dyDescent="0.25">
      <c r="A206" s="1531"/>
      <c r="B206" s="1531"/>
      <c r="C206" s="1536"/>
      <c r="D206" s="1589">
        <v>4549</v>
      </c>
      <c r="E206" s="1537">
        <v>747200000</v>
      </c>
      <c r="F206" s="1538">
        <v>0</v>
      </c>
      <c r="G206" s="1537">
        <v>747200000</v>
      </c>
      <c r="H206" s="1538">
        <v>0</v>
      </c>
    </row>
    <row r="207" spans="1:8" s="1533" customFormat="1" ht="17.25" customHeight="1" x14ac:dyDescent="0.25">
      <c r="A207" s="1531"/>
      <c r="B207" s="1531"/>
      <c r="C207" s="1536" t="s">
        <v>893</v>
      </c>
      <c r="D207" s="1589"/>
      <c r="E207" s="1537">
        <v>15375516</v>
      </c>
      <c r="F207" s="1538">
        <v>0</v>
      </c>
      <c r="G207" s="1537">
        <v>217417</v>
      </c>
      <c r="H207" s="1537">
        <v>15158099</v>
      </c>
    </row>
    <row r="208" spans="1:8" s="1533" customFormat="1" ht="17.25" customHeight="1" x14ac:dyDescent="0.25">
      <c r="A208" s="1531"/>
      <c r="B208" s="1531"/>
      <c r="C208" s="1536" t="s">
        <v>894</v>
      </c>
      <c r="D208" s="1589"/>
      <c r="E208" s="1537">
        <v>15375516</v>
      </c>
      <c r="F208" s="1538">
        <v>0</v>
      </c>
      <c r="G208" s="1537">
        <v>217417</v>
      </c>
      <c r="H208" s="1537">
        <v>15158099</v>
      </c>
    </row>
    <row r="209" spans="1:8" s="1533" customFormat="1" ht="17.25" customHeight="1" x14ac:dyDescent="0.25">
      <c r="A209" s="1531"/>
      <c r="B209" s="1531"/>
      <c r="C209" s="1536"/>
      <c r="D209" s="1589">
        <v>4917</v>
      </c>
      <c r="E209" s="1537">
        <v>40377</v>
      </c>
      <c r="F209" s="1538">
        <v>0</v>
      </c>
      <c r="G209" s="1537">
        <v>40377</v>
      </c>
      <c r="H209" s="1538">
        <v>0</v>
      </c>
    </row>
    <row r="210" spans="1:8" s="1533" customFormat="1" ht="17.25" customHeight="1" x14ac:dyDescent="0.25">
      <c r="A210" s="1531"/>
      <c r="B210" s="1531"/>
      <c r="C210" s="1536"/>
      <c r="D210" s="1589">
        <v>4944</v>
      </c>
      <c r="E210" s="1537">
        <v>177040</v>
      </c>
      <c r="F210" s="1538">
        <v>0</v>
      </c>
      <c r="G210" s="1537">
        <v>177040</v>
      </c>
      <c r="H210" s="1538">
        <v>0</v>
      </c>
    </row>
    <row r="211" spans="1:8" s="1533" customFormat="1" ht="17.25" customHeight="1" x14ac:dyDescent="0.25">
      <c r="A211" s="1531"/>
      <c r="B211" s="1531"/>
      <c r="C211" s="1536"/>
      <c r="D211" s="1589">
        <v>4949</v>
      </c>
      <c r="E211" s="1537">
        <v>15158099</v>
      </c>
      <c r="F211" s="1538">
        <v>0</v>
      </c>
      <c r="G211" s="1538">
        <v>0</v>
      </c>
      <c r="H211" s="1537">
        <v>15158099</v>
      </c>
    </row>
    <row r="212" spans="1:8" s="1533" customFormat="1" ht="17.25" customHeight="1" x14ac:dyDescent="0.25">
      <c r="A212" s="1536"/>
      <c r="B212" s="1536" t="s">
        <v>878</v>
      </c>
      <c r="C212" s="1531"/>
      <c r="D212" s="1592"/>
      <c r="E212" s="1537">
        <v>44007370</v>
      </c>
      <c r="F212" s="1537">
        <v>15000</v>
      </c>
      <c r="G212" s="1537">
        <v>43992370</v>
      </c>
      <c r="H212" s="1538">
        <v>0</v>
      </c>
    </row>
    <row r="213" spans="1:8" s="1533" customFormat="1" ht="17.25" customHeight="1" x14ac:dyDescent="0.25">
      <c r="A213" s="1531"/>
      <c r="B213" s="1531"/>
      <c r="C213" s="1536" t="s">
        <v>858</v>
      </c>
      <c r="D213" s="1589"/>
      <c r="E213" s="1537">
        <v>43984000</v>
      </c>
      <c r="F213" s="1538">
        <v>0</v>
      </c>
      <c r="G213" s="1537">
        <v>43984000</v>
      </c>
      <c r="H213" s="1538">
        <v>0</v>
      </c>
    </row>
    <row r="214" spans="1:8" s="1533" customFormat="1" ht="17.25" customHeight="1" x14ac:dyDescent="0.25">
      <c r="A214" s="1531"/>
      <c r="B214" s="1531"/>
      <c r="C214" s="1536" t="s">
        <v>888</v>
      </c>
      <c r="D214" s="1589"/>
      <c r="E214" s="1537">
        <v>43984000</v>
      </c>
      <c r="F214" s="1538">
        <v>0</v>
      </c>
      <c r="G214" s="1537">
        <v>43984000</v>
      </c>
      <c r="H214" s="1538">
        <v>0</v>
      </c>
    </row>
    <row r="215" spans="1:8" s="1533" customFormat="1" ht="17.25" customHeight="1" x14ac:dyDescent="0.25">
      <c r="A215" s="1531"/>
      <c r="B215" s="1531"/>
      <c r="C215" s="1536" t="s">
        <v>909</v>
      </c>
      <c r="D215" s="1589"/>
      <c r="E215" s="1537">
        <v>1200000</v>
      </c>
      <c r="F215" s="1538">
        <v>0</v>
      </c>
      <c r="G215" s="1537">
        <v>1200000</v>
      </c>
      <c r="H215" s="1538">
        <v>0</v>
      </c>
    </row>
    <row r="216" spans="1:8" s="1533" customFormat="1" ht="17.25" customHeight="1" x14ac:dyDescent="0.25">
      <c r="A216" s="1531"/>
      <c r="B216" s="1531"/>
      <c r="C216" s="1536"/>
      <c r="D216" s="1589">
        <v>2665</v>
      </c>
      <c r="E216" s="1537">
        <v>1200000</v>
      </c>
      <c r="F216" s="1538">
        <v>0</v>
      </c>
      <c r="G216" s="1537">
        <v>1200000</v>
      </c>
      <c r="H216" s="1538">
        <v>0</v>
      </c>
    </row>
    <row r="217" spans="1:8" s="1533" customFormat="1" ht="17.25" customHeight="1" x14ac:dyDescent="0.25">
      <c r="A217" s="1531"/>
      <c r="B217" s="1531"/>
      <c r="C217" s="1536" t="s">
        <v>890</v>
      </c>
      <c r="D217" s="1589"/>
      <c r="E217" s="1537">
        <v>7020000</v>
      </c>
      <c r="F217" s="1538">
        <v>0</v>
      </c>
      <c r="G217" s="1537">
        <v>7020000</v>
      </c>
      <c r="H217" s="1538">
        <v>0</v>
      </c>
    </row>
    <row r="218" spans="1:8" s="1533" customFormat="1" ht="17.25" customHeight="1" x14ac:dyDescent="0.25">
      <c r="A218" s="1531"/>
      <c r="B218" s="1531"/>
      <c r="C218" s="1536"/>
      <c r="D218" s="1589">
        <v>2805</v>
      </c>
      <c r="E218" s="1537">
        <v>3900000</v>
      </c>
      <c r="F218" s="1538">
        <v>0</v>
      </c>
      <c r="G218" s="1537">
        <v>3900000</v>
      </c>
      <c r="H218" s="1538">
        <v>0</v>
      </c>
    </row>
    <row r="219" spans="1:8" s="1533" customFormat="1" ht="17.25" customHeight="1" x14ac:dyDescent="0.25">
      <c r="A219" s="1531"/>
      <c r="B219" s="1531"/>
      <c r="C219" s="1536"/>
      <c r="D219" s="1589">
        <v>2815</v>
      </c>
      <c r="E219" s="1537">
        <v>3120000</v>
      </c>
      <c r="F219" s="1538">
        <v>0</v>
      </c>
      <c r="G219" s="1537">
        <v>3120000</v>
      </c>
      <c r="H219" s="1538">
        <v>0</v>
      </c>
    </row>
    <row r="220" spans="1:8" s="1533" customFormat="1" ht="17.25" customHeight="1" x14ac:dyDescent="0.25">
      <c r="A220" s="1531"/>
      <c r="B220" s="1531"/>
      <c r="C220" s="1536" t="s">
        <v>902</v>
      </c>
      <c r="D220" s="1589"/>
      <c r="E220" s="1537">
        <v>35764000</v>
      </c>
      <c r="F220" s="1538">
        <v>0</v>
      </c>
      <c r="G220" s="1537">
        <v>35764000</v>
      </c>
      <c r="H220" s="1538">
        <v>0</v>
      </c>
    </row>
    <row r="221" spans="1:8" s="1533" customFormat="1" ht="17.25" customHeight="1" x14ac:dyDescent="0.25">
      <c r="A221" s="1531"/>
      <c r="B221" s="1531"/>
      <c r="C221" s="1536"/>
      <c r="D221" s="1589">
        <v>2852</v>
      </c>
      <c r="E221" s="1537">
        <v>35764000</v>
      </c>
      <c r="F221" s="1538">
        <v>0</v>
      </c>
      <c r="G221" s="1537">
        <v>35764000</v>
      </c>
      <c r="H221" s="1538">
        <v>0</v>
      </c>
    </row>
    <row r="222" spans="1:8" s="1533" customFormat="1" ht="17.25" customHeight="1" x14ac:dyDescent="0.25">
      <c r="A222" s="1531"/>
      <c r="B222" s="1531"/>
      <c r="C222" s="1536" t="s">
        <v>859</v>
      </c>
      <c r="D222" s="1589"/>
      <c r="E222" s="1537">
        <v>23370</v>
      </c>
      <c r="F222" s="1537">
        <v>15000</v>
      </c>
      <c r="G222" s="1537">
        <v>8370</v>
      </c>
      <c r="H222" s="1538">
        <v>0</v>
      </c>
    </row>
    <row r="223" spans="1:8" s="1533" customFormat="1" ht="17.25" customHeight="1" x14ac:dyDescent="0.25">
      <c r="A223" s="1531"/>
      <c r="B223" s="1531"/>
      <c r="C223" s="1536" t="s">
        <v>893</v>
      </c>
      <c r="D223" s="1589"/>
      <c r="E223" s="1537">
        <v>23370</v>
      </c>
      <c r="F223" s="1537">
        <v>15000</v>
      </c>
      <c r="G223" s="1537">
        <v>8370</v>
      </c>
      <c r="H223" s="1538">
        <v>0</v>
      </c>
    </row>
    <row r="224" spans="1:8" s="1533" customFormat="1" ht="17.25" customHeight="1" x14ac:dyDescent="0.25">
      <c r="A224" s="1531"/>
      <c r="B224" s="1531"/>
      <c r="C224" s="1536" t="s">
        <v>894</v>
      </c>
      <c r="D224" s="1589"/>
      <c r="E224" s="1537">
        <v>23370</v>
      </c>
      <c r="F224" s="1537">
        <v>15000</v>
      </c>
      <c r="G224" s="1537">
        <v>8370</v>
      </c>
      <c r="H224" s="1538">
        <v>0</v>
      </c>
    </row>
    <row r="225" spans="1:8" s="1533" customFormat="1" ht="17.25" customHeight="1" x14ac:dyDescent="0.25">
      <c r="A225" s="1531"/>
      <c r="B225" s="1531"/>
      <c r="C225" s="1536"/>
      <c r="D225" s="1589">
        <v>4943</v>
      </c>
      <c r="E225" s="1537">
        <v>15000</v>
      </c>
      <c r="F225" s="1537">
        <v>15000</v>
      </c>
      <c r="G225" s="1538">
        <v>0</v>
      </c>
      <c r="H225" s="1538">
        <v>0</v>
      </c>
    </row>
    <row r="226" spans="1:8" s="1533" customFormat="1" ht="17.25" customHeight="1" x14ac:dyDescent="0.25">
      <c r="A226" s="1531"/>
      <c r="B226" s="1531"/>
      <c r="C226" s="1536"/>
      <c r="D226" s="1589">
        <v>4944</v>
      </c>
      <c r="E226" s="1537">
        <v>8370</v>
      </c>
      <c r="F226" s="1538">
        <v>0</v>
      </c>
      <c r="G226" s="1537">
        <v>8370</v>
      </c>
      <c r="H226" s="1538">
        <v>0</v>
      </c>
    </row>
    <row r="227" spans="1:8" s="1533" customFormat="1" ht="17.25" customHeight="1" x14ac:dyDescent="0.25">
      <c r="A227" s="1536"/>
      <c r="B227" s="1536" t="s">
        <v>879</v>
      </c>
      <c r="C227" s="1531"/>
      <c r="D227" s="1592"/>
      <c r="E227" s="1537">
        <v>35571300</v>
      </c>
      <c r="F227" s="1538">
        <v>0</v>
      </c>
      <c r="G227" s="1537">
        <v>35571300</v>
      </c>
      <c r="H227" s="1538">
        <v>0</v>
      </c>
    </row>
    <row r="228" spans="1:8" s="1533" customFormat="1" ht="17.25" customHeight="1" x14ac:dyDescent="0.25">
      <c r="A228" s="1531"/>
      <c r="B228" s="1531"/>
      <c r="C228" s="1536" t="s">
        <v>858</v>
      </c>
      <c r="D228" s="1589"/>
      <c r="E228" s="1537">
        <v>35074697</v>
      </c>
      <c r="F228" s="1538">
        <v>0</v>
      </c>
      <c r="G228" s="1537">
        <v>35074697</v>
      </c>
      <c r="H228" s="1538">
        <v>0</v>
      </c>
    </row>
    <row r="229" spans="1:8" s="1533" customFormat="1" ht="17.25" customHeight="1" x14ac:dyDescent="0.25">
      <c r="A229" s="1531"/>
      <c r="B229" s="1531"/>
      <c r="C229" s="1536" t="s">
        <v>888</v>
      </c>
      <c r="D229" s="1589"/>
      <c r="E229" s="1537">
        <v>35074697</v>
      </c>
      <c r="F229" s="1538">
        <v>0</v>
      </c>
      <c r="G229" s="1537">
        <v>35074697</v>
      </c>
      <c r="H229" s="1538">
        <v>0</v>
      </c>
    </row>
    <row r="230" spans="1:8" s="1533" customFormat="1" ht="17.25" customHeight="1" x14ac:dyDescent="0.25">
      <c r="A230" s="1531"/>
      <c r="B230" s="1531"/>
      <c r="C230" s="1536" t="s">
        <v>904</v>
      </c>
      <c r="D230" s="1589"/>
      <c r="E230" s="1537">
        <v>200000</v>
      </c>
      <c r="F230" s="1538">
        <v>0</v>
      </c>
      <c r="G230" s="1537">
        <v>200000</v>
      </c>
      <c r="H230" s="1538">
        <v>0</v>
      </c>
    </row>
    <row r="231" spans="1:8" s="1533" customFormat="1" ht="17.25" customHeight="1" x14ac:dyDescent="0.25">
      <c r="A231" s="1531"/>
      <c r="B231" s="1531"/>
      <c r="C231" s="1536"/>
      <c r="D231" s="1589">
        <v>2627</v>
      </c>
      <c r="E231" s="1537">
        <v>200000</v>
      </c>
      <c r="F231" s="1538">
        <v>0</v>
      </c>
      <c r="G231" s="1537">
        <v>200000</v>
      </c>
      <c r="H231" s="1538">
        <v>0</v>
      </c>
    </row>
    <row r="232" spans="1:8" s="1533" customFormat="1" ht="17.25" customHeight="1" x14ac:dyDescent="0.25">
      <c r="A232" s="1531"/>
      <c r="B232" s="1531"/>
      <c r="C232" s="1536" t="s">
        <v>906</v>
      </c>
      <c r="D232" s="1589"/>
      <c r="E232" s="1537">
        <v>15146697</v>
      </c>
      <c r="F232" s="1538">
        <v>0</v>
      </c>
      <c r="G232" s="1537">
        <v>15146697</v>
      </c>
      <c r="H232" s="1538">
        <v>0</v>
      </c>
    </row>
    <row r="233" spans="1:8" s="1533" customFormat="1" ht="17.25" customHeight="1" x14ac:dyDescent="0.25">
      <c r="A233" s="1531"/>
      <c r="B233" s="1531"/>
      <c r="C233" s="1536"/>
      <c r="D233" s="1589">
        <v>2716</v>
      </c>
      <c r="E233" s="1537">
        <v>15146697</v>
      </c>
      <c r="F233" s="1538">
        <v>0</v>
      </c>
      <c r="G233" s="1537">
        <v>15146697</v>
      </c>
      <c r="H233" s="1538">
        <v>0</v>
      </c>
    </row>
    <row r="234" spans="1:8" s="1533" customFormat="1" ht="17.25" customHeight="1" x14ac:dyDescent="0.25">
      <c r="A234" s="1531"/>
      <c r="B234" s="1531"/>
      <c r="C234" s="1536" t="s">
        <v>889</v>
      </c>
      <c r="D234" s="1589"/>
      <c r="E234" s="1537">
        <v>6488000</v>
      </c>
      <c r="F234" s="1538">
        <v>0</v>
      </c>
      <c r="G234" s="1537">
        <v>6488000</v>
      </c>
      <c r="H234" s="1538">
        <v>0</v>
      </c>
    </row>
    <row r="235" spans="1:8" s="1533" customFormat="1" ht="17.25" customHeight="1" x14ac:dyDescent="0.25">
      <c r="A235" s="1531"/>
      <c r="B235" s="1531"/>
      <c r="C235" s="1536"/>
      <c r="D235" s="1589">
        <v>2771</v>
      </c>
      <c r="E235" s="1537">
        <v>6488000</v>
      </c>
      <c r="F235" s="1538">
        <v>0</v>
      </c>
      <c r="G235" s="1537">
        <v>6488000</v>
      </c>
      <c r="H235" s="1538">
        <v>0</v>
      </c>
    </row>
    <row r="236" spans="1:8" s="1533" customFormat="1" ht="17.25" customHeight="1" x14ac:dyDescent="0.25">
      <c r="A236" s="1531"/>
      <c r="B236" s="1531"/>
      <c r="C236" s="1536" t="s">
        <v>890</v>
      </c>
      <c r="D236" s="1589"/>
      <c r="E236" s="1537">
        <v>2450000</v>
      </c>
      <c r="F236" s="1538">
        <v>0</v>
      </c>
      <c r="G236" s="1537">
        <v>2450000</v>
      </c>
      <c r="H236" s="1538">
        <v>0</v>
      </c>
    </row>
    <row r="237" spans="1:8" s="1533" customFormat="1" ht="17.25" customHeight="1" x14ac:dyDescent="0.25">
      <c r="A237" s="1531"/>
      <c r="B237" s="1531"/>
      <c r="C237" s="1536"/>
      <c r="D237" s="1589">
        <v>2805</v>
      </c>
      <c r="E237" s="1537">
        <v>1235000</v>
      </c>
      <c r="F237" s="1538">
        <v>0</v>
      </c>
      <c r="G237" s="1537">
        <v>1235000</v>
      </c>
      <c r="H237" s="1538">
        <v>0</v>
      </c>
    </row>
    <row r="238" spans="1:8" s="1533" customFormat="1" ht="17.25" customHeight="1" x14ac:dyDescent="0.25">
      <c r="A238" s="1531"/>
      <c r="B238" s="1531"/>
      <c r="C238" s="1536"/>
      <c r="D238" s="1589">
        <v>2815</v>
      </c>
      <c r="E238" s="1537">
        <v>1215000</v>
      </c>
      <c r="F238" s="1538">
        <v>0</v>
      </c>
      <c r="G238" s="1537">
        <v>1215000</v>
      </c>
      <c r="H238" s="1538">
        <v>0</v>
      </c>
    </row>
    <row r="239" spans="1:8" s="1533" customFormat="1" ht="17.25" customHeight="1" x14ac:dyDescent="0.25">
      <c r="A239" s="1531"/>
      <c r="B239" s="1531"/>
      <c r="C239" s="1536" t="s">
        <v>902</v>
      </c>
      <c r="D239" s="1589"/>
      <c r="E239" s="1537">
        <v>10790000</v>
      </c>
      <c r="F239" s="1538">
        <v>0</v>
      </c>
      <c r="G239" s="1537">
        <v>10790000</v>
      </c>
      <c r="H239" s="1538">
        <v>0</v>
      </c>
    </row>
    <row r="240" spans="1:8" s="1533" customFormat="1" ht="17.25" customHeight="1" x14ac:dyDescent="0.25">
      <c r="A240" s="1531"/>
      <c r="B240" s="1531"/>
      <c r="C240" s="1536"/>
      <c r="D240" s="1589">
        <v>2852</v>
      </c>
      <c r="E240" s="1537">
        <v>10790000</v>
      </c>
      <c r="F240" s="1538">
        <v>0</v>
      </c>
      <c r="G240" s="1537">
        <v>10790000</v>
      </c>
      <c r="H240" s="1538">
        <v>0</v>
      </c>
    </row>
    <row r="241" spans="1:8" s="1533" customFormat="1" ht="17.25" customHeight="1" x14ac:dyDescent="0.25">
      <c r="A241" s="1531"/>
      <c r="B241" s="1531"/>
      <c r="C241" s="1536" t="s">
        <v>859</v>
      </c>
      <c r="D241" s="1589"/>
      <c r="E241" s="1537">
        <v>496603</v>
      </c>
      <c r="F241" s="1538">
        <v>0</v>
      </c>
      <c r="G241" s="1537">
        <v>496603</v>
      </c>
      <c r="H241" s="1538">
        <v>0</v>
      </c>
    </row>
    <row r="242" spans="1:8" s="1533" customFormat="1" ht="17.25" customHeight="1" x14ac:dyDescent="0.25">
      <c r="A242" s="1531"/>
      <c r="B242" s="1531"/>
      <c r="C242" s="1536" t="s">
        <v>893</v>
      </c>
      <c r="D242" s="1589"/>
      <c r="E242" s="1537">
        <v>496603</v>
      </c>
      <c r="F242" s="1538">
        <v>0</v>
      </c>
      <c r="G242" s="1537">
        <v>496603</v>
      </c>
      <c r="H242" s="1538">
        <v>0</v>
      </c>
    </row>
    <row r="243" spans="1:8" s="1533" customFormat="1" ht="17.25" customHeight="1" x14ac:dyDescent="0.25">
      <c r="A243" s="1531"/>
      <c r="B243" s="1531"/>
      <c r="C243" s="1536" t="s">
        <v>894</v>
      </c>
      <c r="D243" s="1589"/>
      <c r="E243" s="1537">
        <v>496603</v>
      </c>
      <c r="F243" s="1538">
        <v>0</v>
      </c>
      <c r="G243" s="1537">
        <v>496603</v>
      </c>
      <c r="H243" s="1538">
        <v>0</v>
      </c>
    </row>
    <row r="244" spans="1:8" s="1533" customFormat="1" ht="17.25" customHeight="1" x14ac:dyDescent="0.25">
      <c r="A244" s="1531"/>
      <c r="B244" s="1531"/>
      <c r="C244" s="1536"/>
      <c r="D244" s="1589">
        <v>4944</v>
      </c>
      <c r="E244" s="1537">
        <v>146603</v>
      </c>
      <c r="F244" s="1538">
        <v>0</v>
      </c>
      <c r="G244" s="1537">
        <v>146603</v>
      </c>
      <c r="H244" s="1538">
        <v>0</v>
      </c>
    </row>
    <row r="245" spans="1:8" s="1533" customFormat="1" ht="17.25" customHeight="1" x14ac:dyDescent="0.25">
      <c r="A245" s="1531"/>
      <c r="B245" s="1531"/>
      <c r="C245" s="1536"/>
      <c r="D245" s="1589">
        <v>4949</v>
      </c>
      <c r="E245" s="1537">
        <v>350000</v>
      </c>
      <c r="F245" s="1538">
        <v>0</v>
      </c>
      <c r="G245" s="1537">
        <v>350000</v>
      </c>
      <c r="H245" s="1538">
        <v>0</v>
      </c>
    </row>
    <row r="246" spans="1:8" s="1533" customFormat="1" ht="17.25" customHeight="1" x14ac:dyDescent="0.25">
      <c r="A246" s="1536"/>
      <c r="B246" s="1536" t="s">
        <v>880</v>
      </c>
      <c r="C246" s="1531"/>
      <c r="D246" s="1592"/>
      <c r="E246" s="1537">
        <v>4194115193</v>
      </c>
      <c r="F246" s="1538">
        <v>0</v>
      </c>
      <c r="G246" s="1537">
        <v>4194115193</v>
      </c>
      <c r="H246" s="1538">
        <v>0</v>
      </c>
    </row>
    <row r="247" spans="1:8" s="1533" customFormat="1" ht="17.25" customHeight="1" x14ac:dyDescent="0.25">
      <c r="A247" s="1531"/>
      <c r="B247" s="1531"/>
      <c r="C247" s="1536" t="s">
        <v>858</v>
      </c>
      <c r="D247" s="1589"/>
      <c r="E247" s="1537">
        <v>4194035643</v>
      </c>
      <c r="F247" s="1538">
        <v>0</v>
      </c>
      <c r="G247" s="1537">
        <v>4194035643</v>
      </c>
      <c r="H247" s="1538">
        <v>0</v>
      </c>
    </row>
    <row r="248" spans="1:8" s="1533" customFormat="1" ht="17.25" customHeight="1" x14ac:dyDescent="0.25">
      <c r="A248" s="1531"/>
      <c r="B248" s="1531"/>
      <c r="C248" s="1536" t="s">
        <v>897</v>
      </c>
      <c r="D248" s="1589"/>
      <c r="E248" s="1537">
        <v>111301051</v>
      </c>
      <c r="F248" s="1538">
        <v>0</v>
      </c>
      <c r="G248" s="1537">
        <v>111301051</v>
      </c>
      <c r="H248" s="1538">
        <v>0</v>
      </c>
    </row>
    <row r="249" spans="1:8" s="1533" customFormat="1" ht="17.25" customHeight="1" x14ac:dyDescent="0.25">
      <c r="A249" s="1531"/>
      <c r="B249" s="1531"/>
      <c r="C249" s="1536" t="s">
        <v>903</v>
      </c>
      <c r="D249" s="1589"/>
      <c r="E249" s="1537">
        <v>111301051</v>
      </c>
      <c r="F249" s="1538">
        <v>0</v>
      </c>
      <c r="G249" s="1537">
        <v>111301051</v>
      </c>
      <c r="H249" s="1538">
        <v>0</v>
      </c>
    </row>
    <row r="250" spans="1:8" s="1533" customFormat="1" ht="17.25" customHeight="1" x14ac:dyDescent="0.25">
      <c r="A250" s="1531"/>
      <c r="B250" s="1531"/>
      <c r="C250" s="1536"/>
      <c r="D250" s="1589">
        <v>1555</v>
      </c>
      <c r="E250" s="1537">
        <v>111301051</v>
      </c>
      <c r="F250" s="1538">
        <v>0</v>
      </c>
      <c r="G250" s="1537">
        <v>111301051</v>
      </c>
      <c r="H250" s="1538">
        <v>0</v>
      </c>
    </row>
    <row r="251" spans="1:8" s="1533" customFormat="1" ht="17.25" customHeight="1" x14ac:dyDescent="0.25">
      <c r="A251" s="1531"/>
      <c r="B251" s="1531"/>
      <c r="C251" s="1536" t="s">
        <v>899</v>
      </c>
      <c r="D251" s="1589"/>
      <c r="E251" s="1537">
        <v>3991743126</v>
      </c>
      <c r="F251" s="1538">
        <v>0</v>
      </c>
      <c r="G251" s="1537">
        <v>3991743126</v>
      </c>
      <c r="H251" s="1538">
        <v>0</v>
      </c>
    </row>
    <row r="252" spans="1:8" s="1533" customFormat="1" ht="17.25" customHeight="1" x14ac:dyDescent="0.25">
      <c r="A252" s="1531"/>
      <c r="B252" s="1531"/>
      <c r="C252" s="1536" t="s">
        <v>900</v>
      </c>
      <c r="D252" s="1589"/>
      <c r="E252" s="1537">
        <v>3991743126</v>
      </c>
      <c r="F252" s="1538">
        <v>0</v>
      </c>
      <c r="G252" s="1537">
        <v>3991743126</v>
      </c>
      <c r="H252" s="1538">
        <v>0</v>
      </c>
    </row>
    <row r="253" spans="1:8" s="1533" customFormat="1" ht="17.25" customHeight="1" x14ac:dyDescent="0.25">
      <c r="A253" s="1531"/>
      <c r="B253" s="1531"/>
      <c r="C253" s="1536"/>
      <c r="D253" s="1589">
        <v>1701</v>
      </c>
      <c r="E253" s="1537">
        <v>3991743126</v>
      </c>
      <c r="F253" s="1538">
        <v>0</v>
      </c>
      <c r="G253" s="1537">
        <v>3991743126</v>
      </c>
      <c r="H253" s="1538">
        <v>0</v>
      </c>
    </row>
    <row r="254" spans="1:8" s="1533" customFormat="1" ht="17.25" customHeight="1" x14ac:dyDescent="0.25">
      <c r="A254" s="1531"/>
      <c r="B254" s="1531"/>
      <c r="C254" s="1536" t="s">
        <v>888</v>
      </c>
      <c r="D254" s="1589"/>
      <c r="E254" s="1537">
        <v>90991466</v>
      </c>
      <c r="F254" s="1538">
        <v>0</v>
      </c>
      <c r="G254" s="1537">
        <v>90991466</v>
      </c>
      <c r="H254" s="1538">
        <v>0</v>
      </c>
    </row>
    <row r="255" spans="1:8" s="1533" customFormat="1" ht="17.25" customHeight="1" x14ac:dyDescent="0.25">
      <c r="A255" s="1531"/>
      <c r="B255" s="1531"/>
      <c r="C255" s="1536" t="s">
        <v>904</v>
      </c>
      <c r="D255" s="1589"/>
      <c r="E255" s="1537">
        <v>79491466</v>
      </c>
      <c r="F255" s="1538">
        <v>0</v>
      </c>
      <c r="G255" s="1537">
        <v>79491466</v>
      </c>
      <c r="H255" s="1538">
        <v>0</v>
      </c>
    </row>
    <row r="256" spans="1:8" s="1533" customFormat="1" ht="17.25" customHeight="1" x14ac:dyDescent="0.25">
      <c r="A256" s="1531"/>
      <c r="B256" s="1531"/>
      <c r="C256" s="1536"/>
      <c r="D256" s="1589">
        <v>2625</v>
      </c>
      <c r="E256" s="1537">
        <v>79491466</v>
      </c>
      <c r="F256" s="1538">
        <v>0</v>
      </c>
      <c r="G256" s="1537">
        <v>79491466</v>
      </c>
      <c r="H256" s="1538">
        <v>0</v>
      </c>
    </row>
    <row r="257" spans="1:8" s="1533" customFormat="1" ht="17.25" customHeight="1" x14ac:dyDescent="0.25">
      <c r="A257" s="1531"/>
      <c r="B257" s="1531"/>
      <c r="C257" s="1536" t="s">
        <v>902</v>
      </c>
      <c r="D257" s="1589"/>
      <c r="E257" s="1537">
        <v>11500000</v>
      </c>
      <c r="F257" s="1538">
        <v>0</v>
      </c>
      <c r="G257" s="1537">
        <v>11500000</v>
      </c>
      <c r="H257" s="1538">
        <v>0</v>
      </c>
    </row>
    <row r="258" spans="1:8" s="1533" customFormat="1" ht="17.25" customHeight="1" x14ac:dyDescent="0.25">
      <c r="A258" s="1531"/>
      <c r="B258" s="1531"/>
      <c r="C258" s="1536"/>
      <c r="D258" s="1589">
        <v>2864</v>
      </c>
      <c r="E258" s="1537">
        <v>11500000</v>
      </c>
      <c r="F258" s="1538">
        <v>0</v>
      </c>
      <c r="G258" s="1537">
        <v>11500000</v>
      </c>
      <c r="H258" s="1538">
        <v>0</v>
      </c>
    </row>
    <row r="259" spans="1:8" s="1533" customFormat="1" ht="17.25" customHeight="1" x14ac:dyDescent="0.25">
      <c r="A259" s="1531"/>
      <c r="B259" s="1531"/>
      <c r="C259" s="1536" t="s">
        <v>859</v>
      </c>
      <c r="D259" s="1589"/>
      <c r="E259" s="1537">
        <v>79550</v>
      </c>
      <c r="F259" s="1538">
        <v>0</v>
      </c>
      <c r="G259" s="1537">
        <v>79550</v>
      </c>
      <c r="H259" s="1538">
        <v>0</v>
      </c>
    </row>
    <row r="260" spans="1:8" s="1533" customFormat="1" ht="17.25" customHeight="1" x14ac:dyDescent="0.25">
      <c r="A260" s="1531"/>
      <c r="B260" s="1531"/>
      <c r="C260" s="1536" t="s">
        <v>893</v>
      </c>
      <c r="D260" s="1589"/>
      <c r="E260" s="1537">
        <v>79550</v>
      </c>
      <c r="F260" s="1538">
        <v>0</v>
      </c>
      <c r="G260" s="1537">
        <v>79550</v>
      </c>
      <c r="H260" s="1538">
        <v>0</v>
      </c>
    </row>
    <row r="261" spans="1:8" s="1533" customFormat="1" ht="17.25" customHeight="1" x14ac:dyDescent="0.25">
      <c r="A261" s="1531"/>
      <c r="B261" s="1531"/>
      <c r="C261" s="1536" t="s">
        <v>894</v>
      </c>
      <c r="D261" s="1589"/>
      <c r="E261" s="1537">
        <v>79550</v>
      </c>
      <c r="F261" s="1538">
        <v>0</v>
      </c>
      <c r="G261" s="1537">
        <v>79550</v>
      </c>
      <c r="H261" s="1538">
        <v>0</v>
      </c>
    </row>
    <row r="262" spans="1:8" s="1533" customFormat="1" ht="17.25" customHeight="1" x14ac:dyDescent="0.25">
      <c r="A262" s="1531"/>
      <c r="B262" s="1531"/>
      <c r="C262" s="1536"/>
      <c r="D262" s="1589">
        <v>4944</v>
      </c>
      <c r="E262" s="1537">
        <v>79550</v>
      </c>
      <c r="F262" s="1538">
        <v>0</v>
      </c>
      <c r="G262" s="1537">
        <v>79550</v>
      </c>
      <c r="H262" s="1538">
        <v>0</v>
      </c>
    </row>
    <row r="263" spans="1:8" s="1533" customFormat="1" ht="17.25" customHeight="1" x14ac:dyDescent="0.25">
      <c r="A263" s="1536"/>
      <c r="B263" s="1536" t="s">
        <v>881</v>
      </c>
      <c r="C263" s="1531"/>
      <c r="D263" s="1592"/>
      <c r="E263" s="1537">
        <v>13826782277</v>
      </c>
      <c r="F263" s="1537">
        <v>1043007424</v>
      </c>
      <c r="G263" s="1537">
        <v>12783774853</v>
      </c>
      <c r="H263" s="1538">
        <v>0</v>
      </c>
    </row>
    <row r="264" spans="1:8" s="1533" customFormat="1" ht="17.25" customHeight="1" x14ac:dyDescent="0.25">
      <c r="A264" s="1531"/>
      <c r="B264" s="1531"/>
      <c r="C264" s="1536" t="s">
        <v>858</v>
      </c>
      <c r="D264" s="1589"/>
      <c r="E264" s="1537">
        <v>12294023588</v>
      </c>
      <c r="F264" s="1538">
        <v>0</v>
      </c>
      <c r="G264" s="1537">
        <v>12294023588</v>
      </c>
      <c r="H264" s="1538">
        <v>0</v>
      </c>
    </row>
    <row r="265" spans="1:8" s="1533" customFormat="1" ht="17.25" customHeight="1" x14ac:dyDescent="0.25">
      <c r="A265" s="1531"/>
      <c r="B265" s="1531"/>
      <c r="C265" s="1536" t="s">
        <v>895</v>
      </c>
      <c r="D265" s="1589"/>
      <c r="E265" s="1537">
        <v>1591138901</v>
      </c>
      <c r="F265" s="1538">
        <v>0</v>
      </c>
      <c r="G265" s="1537">
        <v>1591138901</v>
      </c>
      <c r="H265" s="1538">
        <v>0</v>
      </c>
    </row>
    <row r="266" spans="1:8" s="1533" customFormat="1" ht="17.25" customHeight="1" x14ac:dyDescent="0.25">
      <c r="A266" s="1531"/>
      <c r="B266" s="1531"/>
      <c r="C266" s="1536" t="s">
        <v>896</v>
      </c>
      <c r="D266" s="1589"/>
      <c r="E266" s="1537">
        <v>1591138901</v>
      </c>
      <c r="F266" s="1538">
        <v>0</v>
      </c>
      <c r="G266" s="1537">
        <v>1591138901</v>
      </c>
      <c r="H266" s="1538">
        <v>0</v>
      </c>
    </row>
    <row r="267" spans="1:8" s="1533" customFormat="1" ht="17.25" customHeight="1" x14ac:dyDescent="0.25">
      <c r="A267" s="1531"/>
      <c r="B267" s="1531"/>
      <c r="C267" s="1536"/>
      <c r="D267" s="1589">
        <v>1052</v>
      </c>
      <c r="E267" s="1537">
        <v>1591138901</v>
      </c>
      <c r="F267" s="1538">
        <v>0</v>
      </c>
      <c r="G267" s="1537">
        <v>1591138901</v>
      </c>
      <c r="H267" s="1538">
        <v>0</v>
      </c>
    </row>
    <row r="268" spans="1:8" s="1533" customFormat="1" ht="17.25" customHeight="1" x14ac:dyDescent="0.25">
      <c r="A268" s="1531"/>
      <c r="B268" s="1531"/>
      <c r="C268" s="1536" t="s">
        <v>897</v>
      </c>
      <c r="D268" s="1589"/>
      <c r="E268" s="1537">
        <v>31455329</v>
      </c>
      <c r="F268" s="1538">
        <v>0</v>
      </c>
      <c r="G268" s="1537">
        <v>31455329</v>
      </c>
      <c r="H268" s="1538">
        <v>0</v>
      </c>
    </row>
    <row r="269" spans="1:8" s="1533" customFormat="1" ht="17.25" customHeight="1" x14ac:dyDescent="0.25">
      <c r="A269" s="1531"/>
      <c r="B269" s="1531"/>
      <c r="C269" s="1536" t="s">
        <v>898</v>
      </c>
      <c r="D269" s="1589"/>
      <c r="E269" s="1537">
        <v>31455329</v>
      </c>
      <c r="F269" s="1538">
        <v>0</v>
      </c>
      <c r="G269" s="1537">
        <v>31455329</v>
      </c>
      <c r="H269" s="1538">
        <v>0</v>
      </c>
    </row>
    <row r="270" spans="1:8" s="1533" customFormat="1" ht="17.25" customHeight="1" x14ac:dyDescent="0.25">
      <c r="A270" s="1531"/>
      <c r="B270" s="1531"/>
      <c r="C270" s="1536"/>
      <c r="D270" s="1589">
        <v>1602</v>
      </c>
      <c r="E270" s="1537">
        <v>27876257</v>
      </c>
      <c r="F270" s="1538">
        <v>0</v>
      </c>
      <c r="G270" s="1537">
        <v>27876257</v>
      </c>
      <c r="H270" s="1538">
        <v>0</v>
      </c>
    </row>
    <row r="271" spans="1:8" s="1533" customFormat="1" ht="17.25" customHeight="1" x14ac:dyDescent="0.25">
      <c r="A271" s="1531"/>
      <c r="B271" s="1531"/>
      <c r="C271" s="1536"/>
      <c r="D271" s="1589">
        <v>1603</v>
      </c>
      <c r="E271" s="1537">
        <v>3579072</v>
      </c>
      <c r="F271" s="1538">
        <v>0</v>
      </c>
      <c r="G271" s="1537">
        <v>3579072</v>
      </c>
      <c r="H271" s="1538">
        <v>0</v>
      </c>
    </row>
    <row r="272" spans="1:8" s="1533" customFormat="1" ht="17.25" customHeight="1" x14ac:dyDescent="0.25">
      <c r="A272" s="1531"/>
      <c r="B272" s="1531"/>
      <c r="C272" s="1536" t="s">
        <v>899</v>
      </c>
      <c r="D272" s="1589"/>
      <c r="E272" s="1537">
        <v>9692641081</v>
      </c>
      <c r="F272" s="1538">
        <v>0</v>
      </c>
      <c r="G272" s="1537">
        <v>9692641081</v>
      </c>
      <c r="H272" s="1538">
        <v>0</v>
      </c>
    </row>
    <row r="273" spans="1:8" s="1533" customFormat="1" ht="17.25" customHeight="1" x14ac:dyDescent="0.25">
      <c r="A273" s="1531"/>
      <c r="B273" s="1531"/>
      <c r="C273" s="1536" t="s">
        <v>900</v>
      </c>
      <c r="D273" s="1589"/>
      <c r="E273" s="1537">
        <v>9692641081</v>
      </c>
      <c r="F273" s="1538">
        <v>0</v>
      </c>
      <c r="G273" s="1537">
        <v>9692641081</v>
      </c>
      <c r="H273" s="1538">
        <v>0</v>
      </c>
    </row>
    <row r="274" spans="1:8" s="1533" customFormat="1" ht="17.25" customHeight="1" x14ac:dyDescent="0.25">
      <c r="A274" s="1531"/>
      <c r="B274" s="1531"/>
      <c r="C274" s="1536"/>
      <c r="D274" s="1589">
        <v>1701</v>
      </c>
      <c r="E274" s="1537">
        <v>9692641081</v>
      </c>
      <c r="F274" s="1538">
        <v>0</v>
      </c>
      <c r="G274" s="1537">
        <v>9692641081</v>
      </c>
      <c r="H274" s="1538">
        <v>0</v>
      </c>
    </row>
    <row r="275" spans="1:8" s="1533" customFormat="1" ht="17.25" customHeight="1" x14ac:dyDescent="0.25">
      <c r="A275" s="1531"/>
      <c r="B275" s="1531"/>
      <c r="C275" s="1536" t="s">
        <v>888</v>
      </c>
      <c r="D275" s="1589"/>
      <c r="E275" s="1537">
        <v>978788277</v>
      </c>
      <c r="F275" s="1538">
        <v>0</v>
      </c>
      <c r="G275" s="1537">
        <v>978788277</v>
      </c>
      <c r="H275" s="1538">
        <v>0</v>
      </c>
    </row>
    <row r="276" spans="1:8" s="1533" customFormat="1" ht="17.25" customHeight="1" x14ac:dyDescent="0.25">
      <c r="A276" s="1531"/>
      <c r="B276" s="1531"/>
      <c r="C276" s="1536" t="s">
        <v>904</v>
      </c>
      <c r="D276" s="1589"/>
      <c r="E276" s="1537">
        <v>114942477</v>
      </c>
      <c r="F276" s="1538">
        <v>0</v>
      </c>
      <c r="G276" s="1537">
        <v>114942477</v>
      </c>
      <c r="H276" s="1538">
        <v>0</v>
      </c>
    </row>
    <row r="277" spans="1:8" s="1533" customFormat="1" ht="17.25" customHeight="1" x14ac:dyDescent="0.25">
      <c r="A277" s="1531"/>
      <c r="B277" s="1531"/>
      <c r="C277" s="1536"/>
      <c r="D277" s="1589">
        <v>2625</v>
      </c>
      <c r="E277" s="1537">
        <v>114942477</v>
      </c>
      <c r="F277" s="1538">
        <v>0</v>
      </c>
      <c r="G277" s="1537">
        <v>114942477</v>
      </c>
      <c r="H277" s="1538">
        <v>0</v>
      </c>
    </row>
    <row r="278" spans="1:8" s="1533" customFormat="1" ht="17.25" customHeight="1" x14ac:dyDescent="0.25">
      <c r="A278" s="1531"/>
      <c r="B278" s="1531"/>
      <c r="C278" s="1536" t="s">
        <v>890</v>
      </c>
      <c r="D278" s="1589"/>
      <c r="E278" s="1537">
        <v>632345800</v>
      </c>
      <c r="F278" s="1538">
        <v>0</v>
      </c>
      <c r="G278" s="1537">
        <v>632345800</v>
      </c>
      <c r="H278" s="1538">
        <v>0</v>
      </c>
    </row>
    <row r="279" spans="1:8" s="1533" customFormat="1" ht="17.25" customHeight="1" x14ac:dyDescent="0.25">
      <c r="A279" s="1531"/>
      <c r="B279" s="1531"/>
      <c r="C279" s="1536"/>
      <c r="D279" s="1589">
        <v>2802</v>
      </c>
      <c r="E279" s="1537">
        <v>581702000</v>
      </c>
      <c r="F279" s="1538">
        <v>0</v>
      </c>
      <c r="G279" s="1537">
        <v>581702000</v>
      </c>
      <c r="H279" s="1538">
        <v>0</v>
      </c>
    </row>
    <row r="280" spans="1:8" s="1533" customFormat="1" ht="17.25" customHeight="1" x14ac:dyDescent="0.25">
      <c r="A280" s="1531"/>
      <c r="B280" s="1531"/>
      <c r="C280" s="1536"/>
      <c r="D280" s="1589">
        <v>2804</v>
      </c>
      <c r="E280" s="1537">
        <v>48480000</v>
      </c>
      <c r="F280" s="1538">
        <v>0</v>
      </c>
      <c r="G280" s="1537">
        <v>48480000</v>
      </c>
      <c r="H280" s="1538">
        <v>0</v>
      </c>
    </row>
    <row r="281" spans="1:8" s="1533" customFormat="1" ht="17.25" customHeight="1" x14ac:dyDescent="0.25">
      <c r="A281" s="1531"/>
      <c r="B281" s="1531"/>
      <c r="C281" s="1536"/>
      <c r="D281" s="1589">
        <v>2824</v>
      </c>
      <c r="E281" s="1537">
        <v>2163800</v>
      </c>
      <c r="F281" s="1538">
        <v>0</v>
      </c>
      <c r="G281" s="1537">
        <v>2163800</v>
      </c>
      <c r="H281" s="1538">
        <v>0</v>
      </c>
    </row>
    <row r="282" spans="1:8" s="1533" customFormat="1" ht="17.25" customHeight="1" x14ac:dyDescent="0.25">
      <c r="A282" s="1531"/>
      <c r="B282" s="1531"/>
      <c r="C282" s="1536" t="s">
        <v>902</v>
      </c>
      <c r="D282" s="1589"/>
      <c r="E282" s="1537">
        <v>231500000</v>
      </c>
      <c r="F282" s="1538">
        <v>0</v>
      </c>
      <c r="G282" s="1537">
        <v>231500000</v>
      </c>
      <c r="H282" s="1538">
        <v>0</v>
      </c>
    </row>
    <row r="283" spans="1:8" s="1533" customFormat="1" ht="17.25" customHeight="1" x14ac:dyDescent="0.25">
      <c r="A283" s="1531"/>
      <c r="B283" s="1531"/>
      <c r="C283" s="1536"/>
      <c r="D283" s="1589">
        <v>2862</v>
      </c>
      <c r="E283" s="1537">
        <v>10000000</v>
      </c>
      <c r="F283" s="1538">
        <v>0</v>
      </c>
      <c r="G283" s="1537">
        <v>10000000</v>
      </c>
      <c r="H283" s="1538">
        <v>0</v>
      </c>
    </row>
    <row r="284" spans="1:8" s="1533" customFormat="1" ht="17.25" customHeight="1" x14ac:dyDescent="0.25">
      <c r="A284" s="1531"/>
      <c r="B284" s="1531"/>
      <c r="C284" s="1536"/>
      <c r="D284" s="1589">
        <v>2863</v>
      </c>
      <c r="E284" s="1537">
        <v>187000000</v>
      </c>
      <c r="F284" s="1538">
        <v>0</v>
      </c>
      <c r="G284" s="1537">
        <v>187000000</v>
      </c>
      <c r="H284" s="1538">
        <v>0</v>
      </c>
    </row>
    <row r="285" spans="1:8" s="1533" customFormat="1" ht="17.25" customHeight="1" x14ac:dyDescent="0.25">
      <c r="A285" s="1531"/>
      <c r="B285" s="1531"/>
      <c r="C285" s="1536"/>
      <c r="D285" s="1589">
        <v>2864</v>
      </c>
      <c r="E285" s="1537">
        <v>34500000</v>
      </c>
      <c r="F285" s="1538">
        <v>0</v>
      </c>
      <c r="G285" s="1537">
        <v>34500000</v>
      </c>
      <c r="H285" s="1538">
        <v>0</v>
      </c>
    </row>
    <row r="286" spans="1:8" s="1533" customFormat="1" ht="17.25" customHeight="1" x14ac:dyDescent="0.25">
      <c r="A286" s="1531"/>
      <c r="B286" s="1531"/>
      <c r="C286" s="1536" t="s">
        <v>859</v>
      </c>
      <c r="D286" s="1589"/>
      <c r="E286" s="1537">
        <v>1532758689</v>
      </c>
      <c r="F286" s="1537">
        <v>1043007424</v>
      </c>
      <c r="G286" s="1537">
        <v>489751265</v>
      </c>
      <c r="H286" s="1538">
        <v>0</v>
      </c>
    </row>
    <row r="287" spans="1:8" s="1533" customFormat="1" ht="17.25" customHeight="1" x14ac:dyDescent="0.25">
      <c r="A287" s="1531"/>
      <c r="B287" s="1531"/>
      <c r="C287" s="1536" t="s">
        <v>891</v>
      </c>
      <c r="D287" s="1589"/>
      <c r="E287" s="1537">
        <v>1043007424</v>
      </c>
      <c r="F287" s="1537">
        <v>1043007424</v>
      </c>
      <c r="G287" s="1538">
        <v>0</v>
      </c>
      <c r="H287" s="1538">
        <v>0</v>
      </c>
    </row>
    <row r="288" spans="1:8" s="1533" customFormat="1" ht="17.25" customHeight="1" x14ac:dyDescent="0.25">
      <c r="A288" s="1531"/>
      <c r="B288" s="1531"/>
      <c r="C288" s="1536" t="s">
        <v>892</v>
      </c>
      <c r="D288" s="1589"/>
      <c r="E288" s="1537">
        <v>1043007424</v>
      </c>
      <c r="F288" s="1537">
        <v>1043007424</v>
      </c>
      <c r="G288" s="1538">
        <v>0</v>
      </c>
      <c r="H288" s="1538">
        <v>0</v>
      </c>
    </row>
    <row r="289" spans="1:8" s="1533" customFormat="1" ht="17.25" customHeight="1" x14ac:dyDescent="0.25">
      <c r="A289" s="1531"/>
      <c r="B289" s="1531"/>
      <c r="C289" s="1536"/>
      <c r="D289" s="1589">
        <v>4254</v>
      </c>
      <c r="E289" s="1537">
        <v>986940166</v>
      </c>
      <c r="F289" s="1537">
        <v>986940166</v>
      </c>
      <c r="G289" s="1538">
        <v>0</v>
      </c>
      <c r="H289" s="1538">
        <v>0</v>
      </c>
    </row>
    <row r="290" spans="1:8" s="1533" customFormat="1" ht="17.25" customHeight="1" x14ac:dyDescent="0.25">
      <c r="A290" s="1531"/>
      <c r="B290" s="1531"/>
      <c r="C290" s="1536"/>
      <c r="D290" s="1589">
        <v>4268</v>
      </c>
      <c r="E290" s="1537">
        <v>50667048</v>
      </c>
      <c r="F290" s="1537">
        <v>50667048</v>
      </c>
      <c r="G290" s="1538">
        <v>0</v>
      </c>
      <c r="H290" s="1538">
        <v>0</v>
      </c>
    </row>
    <row r="291" spans="1:8" s="1533" customFormat="1" ht="17.25" customHeight="1" x14ac:dyDescent="0.25">
      <c r="A291" s="1531"/>
      <c r="B291" s="1531"/>
      <c r="C291" s="1536"/>
      <c r="D291" s="1589">
        <v>4272</v>
      </c>
      <c r="E291" s="1537">
        <v>5400210</v>
      </c>
      <c r="F291" s="1537">
        <v>5400210</v>
      </c>
      <c r="G291" s="1538">
        <v>0</v>
      </c>
      <c r="H291" s="1538">
        <v>0</v>
      </c>
    </row>
    <row r="292" spans="1:8" s="1533" customFormat="1" ht="17.25" customHeight="1" x14ac:dyDescent="0.25">
      <c r="A292" s="1531"/>
      <c r="B292" s="1531"/>
      <c r="C292" s="1536" t="s">
        <v>893</v>
      </c>
      <c r="D292" s="1589"/>
      <c r="E292" s="1537">
        <v>489751265</v>
      </c>
      <c r="F292" s="1538">
        <v>0</v>
      </c>
      <c r="G292" s="1537">
        <v>489751265</v>
      </c>
      <c r="H292" s="1538">
        <v>0</v>
      </c>
    </row>
    <row r="293" spans="1:8" s="1533" customFormat="1" ht="17.25" customHeight="1" x14ac:dyDescent="0.25">
      <c r="A293" s="1531"/>
      <c r="B293" s="1531"/>
      <c r="C293" s="1536" t="s">
        <v>894</v>
      </c>
      <c r="D293" s="1589"/>
      <c r="E293" s="1537">
        <v>489751265</v>
      </c>
      <c r="F293" s="1538">
        <v>0</v>
      </c>
      <c r="G293" s="1537">
        <v>489751265</v>
      </c>
      <c r="H293" s="1538">
        <v>0</v>
      </c>
    </row>
    <row r="294" spans="1:8" s="1533" customFormat="1" ht="17.25" customHeight="1" x14ac:dyDescent="0.25">
      <c r="A294" s="1531"/>
      <c r="B294" s="1531"/>
      <c r="C294" s="1536"/>
      <c r="D294" s="1589">
        <v>4902</v>
      </c>
      <c r="E294" s="1537">
        <v>73242000</v>
      </c>
      <c r="F294" s="1538">
        <v>0</v>
      </c>
      <c r="G294" s="1537">
        <v>73242000</v>
      </c>
      <c r="H294" s="1538">
        <v>0</v>
      </c>
    </row>
    <row r="295" spans="1:8" s="1533" customFormat="1" ht="17.25" customHeight="1" x14ac:dyDescent="0.25">
      <c r="A295" s="1531"/>
      <c r="B295" s="1531"/>
      <c r="C295" s="1536"/>
      <c r="D295" s="1589">
        <v>4917</v>
      </c>
      <c r="E295" s="1537">
        <v>1614633</v>
      </c>
      <c r="F295" s="1538">
        <v>0</v>
      </c>
      <c r="G295" s="1537">
        <v>1614633</v>
      </c>
      <c r="H295" s="1538">
        <v>0</v>
      </c>
    </row>
    <row r="296" spans="1:8" s="1533" customFormat="1" ht="17.25" customHeight="1" x14ac:dyDescent="0.25">
      <c r="A296" s="1531"/>
      <c r="B296" s="1531"/>
      <c r="C296" s="1536"/>
      <c r="D296" s="1589">
        <v>4918</v>
      </c>
      <c r="E296" s="1537">
        <v>144219115</v>
      </c>
      <c r="F296" s="1538">
        <v>0</v>
      </c>
      <c r="G296" s="1537">
        <v>144219115</v>
      </c>
      <c r="H296" s="1538">
        <v>0</v>
      </c>
    </row>
    <row r="297" spans="1:8" s="1533" customFormat="1" ht="17.25" customHeight="1" x14ac:dyDescent="0.25">
      <c r="A297" s="1531"/>
      <c r="B297" s="1531"/>
      <c r="C297" s="1536"/>
      <c r="D297" s="1589">
        <v>4931</v>
      </c>
      <c r="E297" s="1537">
        <v>268196407</v>
      </c>
      <c r="F297" s="1538">
        <v>0</v>
      </c>
      <c r="G297" s="1537">
        <v>268196407</v>
      </c>
      <c r="H297" s="1538">
        <v>0</v>
      </c>
    </row>
    <row r="298" spans="1:8" s="1533" customFormat="1" ht="17.25" customHeight="1" x14ac:dyDescent="0.25">
      <c r="A298" s="1531"/>
      <c r="B298" s="1531"/>
      <c r="C298" s="1536"/>
      <c r="D298" s="1589">
        <v>4944</v>
      </c>
      <c r="E298" s="1537">
        <v>2479110</v>
      </c>
      <c r="F298" s="1538">
        <v>0</v>
      </c>
      <c r="G298" s="1537">
        <v>2479110</v>
      </c>
      <c r="H298" s="1538">
        <v>0</v>
      </c>
    </row>
    <row r="299" spans="1:8" s="1533" customFormat="1" ht="17.25" customHeight="1" x14ac:dyDescent="0.25">
      <c r="A299" s="1536"/>
      <c r="B299" s="1536" t="s">
        <v>882</v>
      </c>
      <c r="C299" s="1531"/>
      <c r="D299" s="1592"/>
      <c r="E299" s="1537">
        <v>129499987</v>
      </c>
      <c r="F299" s="1538">
        <v>0</v>
      </c>
      <c r="G299" s="1537">
        <v>129499987</v>
      </c>
      <c r="H299" s="1538">
        <v>0</v>
      </c>
    </row>
    <row r="300" spans="1:8" s="1533" customFormat="1" ht="17.25" customHeight="1" x14ac:dyDescent="0.25">
      <c r="A300" s="1531"/>
      <c r="B300" s="1531"/>
      <c r="C300" s="1536" t="s">
        <v>858</v>
      </c>
      <c r="D300" s="1589"/>
      <c r="E300" s="1537">
        <v>128914918</v>
      </c>
      <c r="F300" s="1538">
        <v>0</v>
      </c>
      <c r="G300" s="1537">
        <v>128914918</v>
      </c>
      <c r="H300" s="1538">
        <v>0</v>
      </c>
    </row>
    <row r="301" spans="1:8" s="1533" customFormat="1" ht="17.25" customHeight="1" x14ac:dyDescent="0.25">
      <c r="A301" s="1531"/>
      <c r="B301" s="1531"/>
      <c r="C301" s="1536" t="s">
        <v>895</v>
      </c>
      <c r="D301" s="1589"/>
      <c r="E301" s="1537">
        <v>331634</v>
      </c>
      <c r="F301" s="1538">
        <v>0</v>
      </c>
      <c r="G301" s="1537">
        <v>331634</v>
      </c>
      <c r="H301" s="1538">
        <v>0</v>
      </c>
    </row>
    <row r="302" spans="1:8" s="1533" customFormat="1" ht="17.25" customHeight="1" x14ac:dyDescent="0.25">
      <c r="A302" s="1531"/>
      <c r="B302" s="1531"/>
      <c r="C302" s="1536" t="s">
        <v>896</v>
      </c>
      <c r="D302" s="1589"/>
      <c r="E302" s="1537">
        <v>331634</v>
      </c>
      <c r="F302" s="1538">
        <v>0</v>
      </c>
      <c r="G302" s="1537">
        <v>331634</v>
      </c>
      <c r="H302" s="1538">
        <v>0</v>
      </c>
    </row>
    <row r="303" spans="1:8" s="1533" customFormat="1" ht="17.25" customHeight="1" x14ac:dyDescent="0.25">
      <c r="A303" s="1531"/>
      <c r="B303" s="1531"/>
      <c r="C303" s="1536"/>
      <c r="D303" s="1589">
        <v>1052</v>
      </c>
      <c r="E303" s="1537">
        <v>331634</v>
      </c>
      <c r="F303" s="1538">
        <v>0</v>
      </c>
      <c r="G303" s="1537">
        <v>331634</v>
      </c>
      <c r="H303" s="1538">
        <v>0</v>
      </c>
    </row>
    <row r="304" spans="1:8" s="1533" customFormat="1" ht="17.25" customHeight="1" x14ac:dyDescent="0.25">
      <c r="A304" s="1531"/>
      <c r="B304" s="1531"/>
      <c r="C304" s="1536" t="s">
        <v>899</v>
      </c>
      <c r="D304" s="1589"/>
      <c r="E304" s="1537">
        <v>48843284</v>
      </c>
      <c r="F304" s="1538">
        <v>0</v>
      </c>
      <c r="G304" s="1537">
        <v>48843284</v>
      </c>
      <c r="H304" s="1538">
        <v>0</v>
      </c>
    </row>
    <row r="305" spans="1:8" s="1533" customFormat="1" ht="17.25" customHeight="1" x14ac:dyDescent="0.25">
      <c r="A305" s="1531"/>
      <c r="B305" s="1531"/>
      <c r="C305" s="1536" t="s">
        <v>900</v>
      </c>
      <c r="D305" s="1589"/>
      <c r="E305" s="1537">
        <v>48074429</v>
      </c>
      <c r="F305" s="1538">
        <v>0</v>
      </c>
      <c r="G305" s="1537">
        <v>48074429</v>
      </c>
      <c r="H305" s="1538">
        <v>0</v>
      </c>
    </row>
    <row r="306" spans="1:8" s="1533" customFormat="1" ht="17.25" customHeight="1" x14ac:dyDescent="0.25">
      <c r="A306" s="1531"/>
      <c r="B306" s="1531"/>
      <c r="C306" s="1536"/>
      <c r="D306" s="1589">
        <v>1701</v>
      </c>
      <c r="E306" s="1537">
        <v>48074429</v>
      </c>
      <c r="F306" s="1538">
        <v>0</v>
      </c>
      <c r="G306" s="1537">
        <v>48074429</v>
      </c>
      <c r="H306" s="1538">
        <v>0</v>
      </c>
    </row>
    <row r="307" spans="1:8" s="1533" customFormat="1" ht="17.25" customHeight="1" x14ac:dyDescent="0.25">
      <c r="A307" s="1531"/>
      <c r="B307" s="1531"/>
      <c r="C307" s="1536" t="s">
        <v>910</v>
      </c>
      <c r="D307" s="1589"/>
      <c r="E307" s="1537">
        <v>768855</v>
      </c>
      <c r="F307" s="1538">
        <v>0</v>
      </c>
      <c r="G307" s="1537">
        <v>768855</v>
      </c>
      <c r="H307" s="1538">
        <v>0</v>
      </c>
    </row>
    <row r="308" spans="1:8" s="1533" customFormat="1" ht="17.25" customHeight="1" x14ac:dyDescent="0.25">
      <c r="A308" s="1531"/>
      <c r="B308" s="1531"/>
      <c r="C308" s="1536"/>
      <c r="D308" s="1589">
        <v>1754</v>
      </c>
      <c r="E308" s="1537">
        <v>768855</v>
      </c>
      <c r="F308" s="1538">
        <v>0</v>
      </c>
      <c r="G308" s="1537">
        <v>768855</v>
      </c>
      <c r="H308" s="1538">
        <v>0</v>
      </c>
    </row>
    <row r="309" spans="1:8" s="1533" customFormat="1" ht="17.25" customHeight="1" x14ac:dyDescent="0.25">
      <c r="A309" s="1531"/>
      <c r="B309" s="1531"/>
      <c r="C309" s="1536" t="s">
        <v>888</v>
      </c>
      <c r="D309" s="1589"/>
      <c r="E309" s="1537">
        <v>79740000</v>
      </c>
      <c r="F309" s="1538">
        <v>0</v>
      </c>
      <c r="G309" s="1537">
        <v>79740000</v>
      </c>
      <c r="H309" s="1538">
        <v>0</v>
      </c>
    </row>
    <row r="310" spans="1:8" s="1533" customFormat="1" ht="17.25" customHeight="1" x14ac:dyDescent="0.25">
      <c r="A310" s="1531"/>
      <c r="B310" s="1531"/>
      <c r="C310" s="1536" t="s">
        <v>890</v>
      </c>
      <c r="D310" s="1589"/>
      <c r="E310" s="1537">
        <v>58740000</v>
      </c>
      <c r="F310" s="1538">
        <v>0</v>
      </c>
      <c r="G310" s="1537">
        <v>58740000</v>
      </c>
      <c r="H310" s="1538">
        <v>0</v>
      </c>
    </row>
    <row r="311" spans="1:8" s="1533" customFormat="1" ht="17.25" customHeight="1" x14ac:dyDescent="0.25">
      <c r="A311" s="1531"/>
      <c r="B311" s="1531"/>
      <c r="C311" s="1536"/>
      <c r="D311" s="1589">
        <v>2802</v>
      </c>
      <c r="E311" s="1537">
        <v>58740000</v>
      </c>
      <c r="F311" s="1538">
        <v>0</v>
      </c>
      <c r="G311" s="1537">
        <v>58740000</v>
      </c>
      <c r="H311" s="1538">
        <v>0</v>
      </c>
    </row>
    <row r="312" spans="1:8" s="1533" customFormat="1" ht="17.25" customHeight="1" x14ac:dyDescent="0.25">
      <c r="A312" s="1531"/>
      <c r="B312" s="1531"/>
      <c r="C312" s="1536" t="s">
        <v>902</v>
      </c>
      <c r="D312" s="1589"/>
      <c r="E312" s="1537">
        <v>21000000</v>
      </c>
      <c r="F312" s="1538">
        <v>0</v>
      </c>
      <c r="G312" s="1537">
        <v>21000000</v>
      </c>
      <c r="H312" s="1538">
        <v>0</v>
      </c>
    </row>
    <row r="313" spans="1:8" s="1533" customFormat="1" ht="17.25" customHeight="1" x14ac:dyDescent="0.25">
      <c r="A313" s="1531"/>
      <c r="B313" s="1531"/>
      <c r="C313" s="1536"/>
      <c r="D313" s="1589">
        <v>2863</v>
      </c>
      <c r="E313" s="1537">
        <v>20000000</v>
      </c>
      <c r="F313" s="1538">
        <v>0</v>
      </c>
      <c r="G313" s="1537">
        <v>20000000</v>
      </c>
      <c r="H313" s="1538">
        <v>0</v>
      </c>
    </row>
    <row r="314" spans="1:8" s="1533" customFormat="1" ht="17.25" customHeight="1" x14ac:dyDescent="0.25">
      <c r="A314" s="1531"/>
      <c r="B314" s="1531"/>
      <c r="C314" s="1536"/>
      <c r="D314" s="1589">
        <v>2864</v>
      </c>
      <c r="E314" s="1537">
        <v>1000000</v>
      </c>
      <c r="F314" s="1538">
        <v>0</v>
      </c>
      <c r="G314" s="1537">
        <v>1000000</v>
      </c>
      <c r="H314" s="1538">
        <v>0</v>
      </c>
    </row>
    <row r="315" spans="1:8" s="1533" customFormat="1" ht="17.25" customHeight="1" x14ac:dyDescent="0.25">
      <c r="A315" s="1531"/>
      <c r="B315" s="1531"/>
      <c r="C315" s="1536" t="s">
        <v>859</v>
      </c>
      <c r="D315" s="1589"/>
      <c r="E315" s="1537">
        <v>585069</v>
      </c>
      <c r="F315" s="1538">
        <v>0</v>
      </c>
      <c r="G315" s="1537">
        <v>585069</v>
      </c>
      <c r="H315" s="1538">
        <v>0</v>
      </c>
    </row>
    <row r="316" spans="1:8" s="1533" customFormat="1" ht="17.25" customHeight="1" x14ac:dyDescent="0.25">
      <c r="A316" s="1531"/>
      <c r="B316" s="1531"/>
      <c r="C316" s="1536" t="s">
        <v>893</v>
      </c>
      <c r="D316" s="1589"/>
      <c r="E316" s="1537">
        <v>585069</v>
      </c>
      <c r="F316" s="1538">
        <v>0</v>
      </c>
      <c r="G316" s="1537">
        <v>585069</v>
      </c>
      <c r="H316" s="1538">
        <v>0</v>
      </c>
    </row>
    <row r="317" spans="1:8" s="1533" customFormat="1" ht="17.25" customHeight="1" x14ac:dyDescent="0.25">
      <c r="A317" s="1531"/>
      <c r="B317" s="1531"/>
      <c r="C317" s="1536" t="s">
        <v>894</v>
      </c>
      <c r="D317" s="1589"/>
      <c r="E317" s="1537">
        <v>585069</v>
      </c>
      <c r="F317" s="1538">
        <v>0</v>
      </c>
      <c r="G317" s="1537">
        <v>585069</v>
      </c>
      <c r="H317" s="1538">
        <v>0</v>
      </c>
    </row>
    <row r="318" spans="1:8" s="1533" customFormat="1" ht="17.25" customHeight="1" x14ac:dyDescent="0.25">
      <c r="A318" s="1531"/>
      <c r="B318" s="1531"/>
      <c r="C318" s="1536"/>
      <c r="D318" s="1589">
        <v>4918</v>
      </c>
      <c r="E318" s="1537">
        <v>8802</v>
      </c>
      <c r="F318" s="1538">
        <v>0</v>
      </c>
      <c r="G318" s="1537">
        <v>8802</v>
      </c>
      <c r="H318" s="1538">
        <v>0</v>
      </c>
    </row>
    <row r="319" spans="1:8" s="1533" customFormat="1" ht="17.25" customHeight="1" x14ac:dyDescent="0.25">
      <c r="A319" s="1531"/>
      <c r="B319" s="1531"/>
      <c r="C319" s="1536"/>
      <c r="D319" s="1589">
        <v>4931</v>
      </c>
      <c r="E319" s="1537">
        <v>214267</v>
      </c>
      <c r="F319" s="1538">
        <v>0</v>
      </c>
      <c r="G319" s="1537">
        <v>214267</v>
      </c>
      <c r="H319" s="1538">
        <v>0</v>
      </c>
    </row>
    <row r="320" spans="1:8" s="1533" customFormat="1" ht="17.25" customHeight="1" x14ac:dyDescent="0.25">
      <c r="A320" s="1531"/>
      <c r="B320" s="1531"/>
      <c r="C320" s="1536"/>
      <c r="D320" s="1589">
        <v>4944</v>
      </c>
      <c r="E320" s="1537">
        <v>362000</v>
      </c>
      <c r="F320" s="1538">
        <v>0</v>
      </c>
      <c r="G320" s="1537">
        <v>362000</v>
      </c>
      <c r="H320" s="1538">
        <v>0</v>
      </c>
    </row>
    <row r="321" spans="1:8" s="1533" customFormat="1" ht="17.25" customHeight="1" x14ac:dyDescent="0.25">
      <c r="A321" s="1536"/>
      <c r="B321" s="1536" t="s">
        <v>954</v>
      </c>
      <c r="C321" s="1531"/>
      <c r="D321" s="1592"/>
      <c r="E321" s="1537">
        <v>43147647394</v>
      </c>
      <c r="F321" s="1537">
        <v>3530875</v>
      </c>
      <c r="G321" s="1537">
        <v>43144116519</v>
      </c>
      <c r="H321" s="1538">
        <v>0</v>
      </c>
    </row>
    <row r="322" spans="1:8" s="1533" customFormat="1" ht="17.25" customHeight="1" x14ac:dyDescent="0.25">
      <c r="A322" s="1531"/>
      <c r="B322" s="1531"/>
      <c r="C322" s="1536" t="s">
        <v>858</v>
      </c>
      <c r="D322" s="1589"/>
      <c r="E322" s="1537">
        <v>42895545480</v>
      </c>
      <c r="F322" s="1538">
        <v>0</v>
      </c>
      <c r="G322" s="1537">
        <v>42895545480</v>
      </c>
      <c r="H322" s="1538">
        <v>0</v>
      </c>
    </row>
    <row r="323" spans="1:8" s="1533" customFormat="1" ht="17.25" customHeight="1" x14ac:dyDescent="0.25">
      <c r="A323" s="1531"/>
      <c r="B323" s="1531"/>
      <c r="C323" s="1536" t="s">
        <v>895</v>
      </c>
      <c r="D323" s="1589"/>
      <c r="E323" s="1537">
        <v>7081500530</v>
      </c>
      <c r="F323" s="1538">
        <v>0</v>
      </c>
      <c r="G323" s="1537">
        <v>7081500530</v>
      </c>
      <c r="H323" s="1538">
        <v>0</v>
      </c>
    </row>
    <row r="324" spans="1:8" s="1533" customFormat="1" ht="17.25" customHeight="1" x14ac:dyDescent="0.25">
      <c r="A324" s="1531"/>
      <c r="B324" s="1531"/>
      <c r="C324" s="1536" t="s">
        <v>905</v>
      </c>
      <c r="D324" s="1589"/>
      <c r="E324" s="1537">
        <v>7081500530</v>
      </c>
      <c r="F324" s="1538">
        <v>0</v>
      </c>
      <c r="G324" s="1537">
        <v>7081500530</v>
      </c>
      <c r="H324" s="1538">
        <v>0</v>
      </c>
    </row>
    <row r="325" spans="1:8" s="1533" customFormat="1" ht="17.25" customHeight="1" x14ac:dyDescent="0.25">
      <c r="A325" s="1531"/>
      <c r="B325" s="1531"/>
      <c r="C325" s="1536"/>
      <c r="D325" s="1589">
        <v>1001</v>
      </c>
      <c r="E325" s="1537">
        <v>84608712</v>
      </c>
      <c r="F325" s="1538">
        <v>0</v>
      </c>
      <c r="G325" s="1537">
        <v>84608712</v>
      </c>
      <c r="H325" s="1538">
        <v>0</v>
      </c>
    </row>
    <row r="326" spans="1:8" s="1533" customFormat="1" ht="17.25" customHeight="1" x14ac:dyDescent="0.25">
      <c r="A326" s="1531"/>
      <c r="B326" s="1531"/>
      <c r="C326" s="1536"/>
      <c r="D326" s="1589">
        <v>1003</v>
      </c>
      <c r="E326" s="1537">
        <v>3139968568</v>
      </c>
      <c r="F326" s="1538">
        <v>0</v>
      </c>
      <c r="G326" s="1537">
        <v>3139968568</v>
      </c>
      <c r="H326" s="1538">
        <v>0</v>
      </c>
    </row>
    <row r="327" spans="1:8" s="1533" customFormat="1" ht="17.25" customHeight="1" x14ac:dyDescent="0.25">
      <c r="A327" s="1531"/>
      <c r="B327" s="1531"/>
      <c r="C327" s="1536"/>
      <c r="D327" s="1589">
        <v>1004</v>
      </c>
      <c r="E327" s="1537">
        <v>54736162</v>
      </c>
      <c r="F327" s="1538">
        <v>0</v>
      </c>
      <c r="G327" s="1537">
        <v>54736162</v>
      </c>
      <c r="H327" s="1538">
        <v>0</v>
      </c>
    </row>
    <row r="328" spans="1:8" s="1533" customFormat="1" ht="17.25" customHeight="1" x14ac:dyDescent="0.25">
      <c r="A328" s="1531"/>
      <c r="B328" s="1531"/>
      <c r="C328" s="1536"/>
      <c r="D328" s="1589">
        <v>1005</v>
      </c>
      <c r="E328" s="1537">
        <v>14080000</v>
      </c>
      <c r="F328" s="1538">
        <v>0</v>
      </c>
      <c r="G328" s="1537">
        <v>14080000</v>
      </c>
      <c r="H328" s="1538">
        <v>0</v>
      </c>
    </row>
    <row r="329" spans="1:8" s="1533" customFormat="1" ht="17.25" customHeight="1" x14ac:dyDescent="0.25">
      <c r="A329" s="1531"/>
      <c r="B329" s="1531"/>
      <c r="C329" s="1536"/>
      <c r="D329" s="1589">
        <v>1006</v>
      </c>
      <c r="E329" s="1537">
        <v>3651354581</v>
      </c>
      <c r="F329" s="1538">
        <v>0</v>
      </c>
      <c r="G329" s="1537">
        <v>3651354581</v>
      </c>
      <c r="H329" s="1538">
        <v>0</v>
      </c>
    </row>
    <row r="330" spans="1:8" s="1533" customFormat="1" ht="17.25" customHeight="1" x14ac:dyDescent="0.25">
      <c r="A330" s="1531"/>
      <c r="B330" s="1531"/>
      <c r="C330" s="1536"/>
      <c r="D330" s="1589">
        <v>1012</v>
      </c>
      <c r="E330" s="1537">
        <v>60450000</v>
      </c>
      <c r="F330" s="1538">
        <v>0</v>
      </c>
      <c r="G330" s="1537">
        <v>60450000</v>
      </c>
      <c r="H330" s="1538">
        <v>0</v>
      </c>
    </row>
    <row r="331" spans="1:8" s="1533" customFormat="1" ht="17.25" customHeight="1" x14ac:dyDescent="0.25">
      <c r="A331" s="1531"/>
      <c r="B331" s="1531"/>
      <c r="C331" s="1536"/>
      <c r="D331" s="1589">
        <v>1014</v>
      </c>
      <c r="E331" s="1537">
        <v>74602507</v>
      </c>
      <c r="F331" s="1538">
        <v>0</v>
      </c>
      <c r="G331" s="1537">
        <v>74602507</v>
      </c>
      <c r="H331" s="1538">
        <v>0</v>
      </c>
    </row>
    <row r="332" spans="1:8" s="1533" customFormat="1" ht="17.25" customHeight="1" x14ac:dyDescent="0.25">
      <c r="A332" s="1531"/>
      <c r="B332" s="1531"/>
      <c r="C332" s="1536"/>
      <c r="D332" s="1589">
        <v>1015</v>
      </c>
      <c r="E332" s="1537">
        <v>1700000</v>
      </c>
      <c r="F332" s="1538">
        <v>0</v>
      </c>
      <c r="G332" s="1537">
        <v>1700000</v>
      </c>
      <c r="H332" s="1538">
        <v>0</v>
      </c>
    </row>
    <row r="333" spans="1:8" s="1533" customFormat="1" ht="17.25" customHeight="1" x14ac:dyDescent="0.25">
      <c r="A333" s="1531"/>
      <c r="B333" s="1531"/>
      <c r="C333" s="1536" t="s">
        <v>897</v>
      </c>
      <c r="D333" s="1589"/>
      <c r="E333" s="1537">
        <v>15907305752</v>
      </c>
      <c r="F333" s="1538">
        <v>0</v>
      </c>
      <c r="G333" s="1537">
        <v>15907305752</v>
      </c>
      <c r="H333" s="1538">
        <v>0</v>
      </c>
    </row>
    <row r="334" spans="1:8" s="1533" customFormat="1" ht="17.25" customHeight="1" x14ac:dyDescent="0.25">
      <c r="A334" s="1531"/>
      <c r="B334" s="1531"/>
      <c r="C334" s="1536" t="s">
        <v>911</v>
      </c>
      <c r="D334" s="1589"/>
      <c r="E334" s="1537">
        <v>15647005002</v>
      </c>
      <c r="F334" s="1538">
        <v>0</v>
      </c>
      <c r="G334" s="1537">
        <v>15647005002</v>
      </c>
      <c r="H334" s="1538">
        <v>0</v>
      </c>
    </row>
    <row r="335" spans="1:8" s="1533" customFormat="1" ht="17.25" customHeight="1" x14ac:dyDescent="0.25">
      <c r="A335" s="1531"/>
      <c r="B335" s="1531"/>
      <c r="C335" s="1536"/>
      <c r="D335" s="1589">
        <v>1401</v>
      </c>
      <c r="E335" s="1537">
        <v>15647005002</v>
      </c>
      <c r="F335" s="1538">
        <v>0</v>
      </c>
      <c r="G335" s="1537">
        <v>15647005002</v>
      </c>
      <c r="H335" s="1538">
        <v>0</v>
      </c>
    </row>
    <row r="336" spans="1:8" s="1533" customFormat="1" ht="17.25" customHeight="1" x14ac:dyDescent="0.25">
      <c r="A336" s="1531"/>
      <c r="B336" s="1531"/>
      <c r="C336" s="1536" t="s">
        <v>903</v>
      </c>
      <c r="D336" s="1589"/>
      <c r="E336" s="1537">
        <v>25776090</v>
      </c>
      <c r="F336" s="1538">
        <v>0</v>
      </c>
      <c r="G336" s="1537">
        <v>25776090</v>
      </c>
      <c r="H336" s="1538">
        <v>0</v>
      </c>
    </row>
    <row r="337" spans="1:8" s="1533" customFormat="1" ht="17.25" customHeight="1" x14ac:dyDescent="0.25">
      <c r="A337" s="1531"/>
      <c r="B337" s="1531"/>
      <c r="C337" s="1536"/>
      <c r="D337" s="1589">
        <v>1557</v>
      </c>
      <c r="E337" s="1537">
        <v>25776090</v>
      </c>
      <c r="F337" s="1538">
        <v>0</v>
      </c>
      <c r="G337" s="1537">
        <v>25776090</v>
      </c>
      <c r="H337" s="1538">
        <v>0</v>
      </c>
    </row>
    <row r="338" spans="1:8" s="1533" customFormat="1" ht="17.25" customHeight="1" x14ac:dyDescent="0.25">
      <c r="A338" s="1531"/>
      <c r="B338" s="1531"/>
      <c r="C338" s="1536" t="s">
        <v>898</v>
      </c>
      <c r="D338" s="1589"/>
      <c r="E338" s="1537">
        <v>234524660</v>
      </c>
      <c r="F338" s="1538">
        <v>0</v>
      </c>
      <c r="G338" s="1537">
        <v>234524660</v>
      </c>
      <c r="H338" s="1538">
        <v>0</v>
      </c>
    </row>
    <row r="339" spans="1:8" s="1533" customFormat="1" ht="17.25" customHeight="1" x14ac:dyDescent="0.25">
      <c r="A339" s="1531"/>
      <c r="B339" s="1531"/>
      <c r="C339" s="1536"/>
      <c r="D339" s="1589">
        <v>1601</v>
      </c>
      <c r="E339" s="1537">
        <v>1582200</v>
      </c>
      <c r="F339" s="1538">
        <v>0</v>
      </c>
      <c r="G339" s="1537">
        <v>1582200</v>
      </c>
      <c r="H339" s="1538">
        <v>0</v>
      </c>
    </row>
    <row r="340" spans="1:8" s="1533" customFormat="1" ht="17.25" customHeight="1" x14ac:dyDescent="0.25">
      <c r="A340" s="1531"/>
      <c r="B340" s="1531"/>
      <c r="C340" s="1536"/>
      <c r="D340" s="1589">
        <v>1602</v>
      </c>
      <c r="E340" s="1537">
        <v>232942460</v>
      </c>
      <c r="F340" s="1538">
        <v>0</v>
      </c>
      <c r="G340" s="1537">
        <v>232942460</v>
      </c>
      <c r="H340" s="1538">
        <v>0</v>
      </c>
    </row>
    <row r="341" spans="1:8" s="1533" customFormat="1" ht="17.25" customHeight="1" x14ac:dyDescent="0.25">
      <c r="A341" s="1531"/>
      <c r="B341" s="1531"/>
      <c r="C341" s="1536" t="s">
        <v>899</v>
      </c>
      <c r="D341" s="1589"/>
      <c r="E341" s="1537">
        <v>6057744731</v>
      </c>
      <c r="F341" s="1538">
        <v>0</v>
      </c>
      <c r="G341" s="1537">
        <v>6057744731</v>
      </c>
      <c r="H341" s="1538">
        <v>0</v>
      </c>
    </row>
    <row r="342" spans="1:8" s="1533" customFormat="1" ht="17.25" customHeight="1" x14ac:dyDescent="0.25">
      <c r="A342" s="1531"/>
      <c r="B342" s="1531"/>
      <c r="C342" s="1536" t="s">
        <v>900</v>
      </c>
      <c r="D342" s="1589"/>
      <c r="E342" s="1537">
        <v>5942175744</v>
      </c>
      <c r="F342" s="1538">
        <v>0</v>
      </c>
      <c r="G342" s="1537">
        <v>5942175744</v>
      </c>
      <c r="H342" s="1538">
        <v>0</v>
      </c>
    </row>
    <row r="343" spans="1:8" s="1533" customFormat="1" ht="17.25" customHeight="1" x14ac:dyDescent="0.25">
      <c r="A343" s="1531"/>
      <c r="B343" s="1531"/>
      <c r="C343" s="1536"/>
      <c r="D343" s="1589">
        <v>1701</v>
      </c>
      <c r="E343" s="1537">
        <v>5942175744</v>
      </c>
      <c r="F343" s="1538">
        <v>0</v>
      </c>
      <c r="G343" s="1537">
        <v>5942175744</v>
      </c>
      <c r="H343" s="1538">
        <v>0</v>
      </c>
    </row>
    <row r="344" spans="1:8" s="1533" customFormat="1" ht="17.25" customHeight="1" x14ac:dyDescent="0.25">
      <c r="A344" s="1531"/>
      <c r="B344" s="1531"/>
      <c r="C344" s="1536" t="s">
        <v>910</v>
      </c>
      <c r="D344" s="1589"/>
      <c r="E344" s="1537">
        <v>115568987</v>
      </c>
      <c r="F344" s="1538">
        <v>0</v>
      </c>
      <c r="G344" s="1537">
        <v>115568987</v>
      </c>
      <c r="H344" s="1538">
        <v>0</v>
      </c>
    </row>
    <row r="345" spans="1:8" s="1533" customFormat="1" ht="17.25" customHeight="1" x14ac:dyDescent="0.25">
      <c r="A345" s="1531"/>
      <c r="B345" s="1531"/>
      <c r="C345" s="1536"/>
      <c r="D345" s="1589">
        <v>1754</v>
      </c>
      <c r="E345" s="1537">
        <v>54950289</v>
      </c>
      <c r="F345" s="1538">
        <v>0</v>
      </c>
      <c r="G345" s="1537">
        <v>54950289</v>
      </c>
      <c r="H345" s="1538">
        <v>0</v>
      </c>
    </row>
    <row r="346" spans="1:8" s="1533" customFormat="1" ht="17.25" customHeight="1" x14ac:dyDescent="0.25">
      <c r="A346" s="1531"/>
      <c r="B346" s="1531"/>
      <c r="C346" s="1536"/>
      <c r="D346" s="1589">
        <v>1757</v>
      </c>
      <c r="E346" s="1537">
        <v>60618698</v>
      </c>
      <c r="F346" s="1538">
        <v>0</v>
      </c>
      <c r="G346" s="1537">
        <v>60618698</v>
      </c>
      <c r="H346" s="1538">
        <v>0</v>
      </c>
    </row>
    <row r="347" spans="1:8" s="1533" customFormat="1" ht="17.25" customHeight="1" x14ac:dyDescent="0.25">
      <c r="A347" s="1531"/>
      <c r="B347" s="1531"/>
      <c r="C347" s="1536" t="s">
        <v>888</v>
      </c>
      <c r="D347" s="1589"/>
      <c r="E347" s="1537">
        <v>13848994467</v>
      </c>
      <c r="F347" s="1538">
        <v>0</v>
      </c>
      <c r="G347" s="1537">
        <v>13848994467</v>
      </c>
      <c r="H347" s="1538">
        <v>0</v>
      </c>
    </row>
    <row r="348" spans="1:8" s="1533" customFormat="1" ht="17.25" customHeight="1" x14ac:dyDescent="0.25">
      <c r="A348" s="1531"/>
      <c r="B348" s="1531"/>
      <c r="C348" s="1536" t="s">
        <v>890</v>
      </c>
      <c r="D348" s="1589"/>
      <c r="E348" s="1537">
        <v>13543294467</v>
      </c>
      <c r="F348" s="1538">
        <v>0</v>
      </c>
      <c r="G348" s="1537">
        <v>13543294467</v>
      </c>
      <c r="H348" s="1538">
        <v>0</v>
      </c>
    </row>
    <row r="349" spans="1:8" s="1533" customFormat="1" ht="17.25" customHeight="1" x14ac:dyDescent="0.25">
      <c r="A349" s="1531"/>
      <c r="B349" s="1531"/>
      <c r="C349" s="1536"/>
      <c r="D349" s="1589">
        <v>2801</v>
      </c>
      <c r="E349" s="1537">
        <v>1038000329</v>
      </c>
      <c r="F349" s="1538">
        <v>0</v>
      </c>
      <c r="G349" s="1537">
        <v>1038000329</v>
      </c>
      <c r="H349" s="1538">
        <v>0</v>
      </c>
    </row>
    <row r="350" spans="1:8" s="1533" customFormat="1" ht="17.25" customHeight="1" x14ac:dyDescent="0.25">
      <c r="A350" s="1531"/>
      <c r="B350" s="1531"/>
      <c r="C350" s="1536"/>
      <c r="D350" s="1589">
        <v>2802</v>
      </c>
      <c r="E350" s="1537">
        <v>12243672844</v>
      </c>
      <c r="F350" s="1538">
        <v>0</v>
      </c>
      <c r="G350" s="1537">
        <v>12243672844</v>
      </c>
      <c r="H350" s="1538">
        <v>0</v>
      </c>
    </row>
    <row r="351" spans="1:8" s="1533" customFormat="1" ht="17.25" customHeight="1" x14ac:dyDescent="0.25">
      <c r="A351" s="1531"/>
      <c r="B351" s="1531"/>
      <c r="C351" s="1536"/>
      <c r="D351" s="1589">
        <v>2804</v>
      </c>
      <c r="E351" s="1537">
        <v>17060000</v>
      </c>
      <c r="F351" s="1538">
        <v>0</v>
      </c>
      <c r="G351" s="1537">
        <v>17060000</v>
      </c>
      <c r="H351" s="1538">
        <v>0</v>
      </c>
    </row>
    <row r="352" spans="1:8" s="1533" customFormat="1" ht="17.25" customHeight="1" x14ac:dyDescent="0.25">
      <c r="A352" s="1531"/>
      <c r="B352" s="1531"/>
      <c r="C352" s="1536"/>
      <c r="D352" s="1589">
        <v>2815</v>
      </c>
      <c r="E352" s="1537">
        <v>90000</v>
      </c>
      <c r="F352" s="1538">
        <v>0</v>
      </c>
      <c r="G352" s="1537">
        <v>90000</v>
      </c>
      <c r="H352" s="1538">
        <v>0</v>
      </c>
    </row>
    <row r="353" spans="1:8" s="1533" customFormat="1" ht="17.25" customHeight="1" x14ac:dyDescent="0.25">
      <c r="A353" s="1531"/>
      <c r="B353" s="1531"/>
      <c r="C353" s="1536"/>
      <c r="D353" s="1589">
        <v>2824</v>
      </c>
      <c r="E353" s="1537">
        <v>244471294</v>
      </c>
      <c r="F353" s="1538">
        <v>0</v>
      </c>
      <c r="G353" s="1537">
        <v>244471294</v>
      </c>
      <c r="H353" s="1538">
        <v>0</v>
      </c>
    </row>
    <row r="354" spans="1:8" s="1533" customFormat="1" ht="17.25" customHeight="1" x14ac:dyDescent="0.25">
      <c r="A354" s="1531"/>
      <c r="B354" s="1531"/>
      <c r="C354" s="1536" t="s">
        <v>902</v>
      </c>
      <c r="D354" s="1589"/>
      <c r="E354" s="1537">
        <v>305700000</v>
      </c>
      <c r="F354" s="1538">
        <v>0</v>
      </c>
      <c r="G354" s="1537">
        <v>305700000</v>
      </c>
      <c r="H354" s="1538">
        <v>0</v>
      </c>
    </row>
    <row r="355" spans="1:8" s="1533" customFormat="1" ht="17.25" customHeight="1" x14ac:dyDescent="0.25">
      <c r="A355" s="1531"/>
      <c r="B355" s="1531"/>
      <c r="C355" s="1536"/>
      <c r="D355" s="1589">
        <v>2862</v>
      </c>
      <c r="E355" s="1537">
        <v>81500000</v>
      </c>
      <c r="F355" s="1538">
        <v>0</v>
      </c>
      <c r="G355" s="1537">
        <v>81500000</v>
      </c>
      <c r="H355" s="1538">
        <v>0</v>
      </c>
    </row>
    <row r="356" spans="1:8" s="1533" customFormat="1" ht="17.25" customHeight="1" x14ac:dyDescent="0.25">
      <c r="A356" s="1531"/>
      <c r="B356" s="1531"/>
      <c r="C356" s="1536"/>
      <c r="D356" s="1589">
        <v>2863</v>
      </c>
      <c r="E356" s="1537">
        <v>73300000</v>
      </c>
      <c r="F356" s="1538">
        <v>0</v>
      </c>
      <c r="G356" s="1537">
        <v>73300000</v>
      </c>
      <c r="H356" s="1538">
        <v>0</v>
      </c>
    </row>
    <row r="357" spans="1:8" s="1533" customFormat="1" ht="17.25" customHeight="1" x14ac:dyDescent="0.25">
      <c r="A357" s="1531"/>
      <c r="B357" s="1531"/>
      <c r="C357" s="1536"/>
      <c r="D357" s="1589">
        <v>2864</v>
      </c>
      <c r="E357" s="1537">
        <v>150900000</v>
      </c>
      <c r="F357" s="1538">
        <v>0</v>
      </c>
      <c r="G357" s="1537">
        <v>150900000</v>
      </c>
      <c r="H357" s="1538">
        <v>0</v>
      </c>
    </row>
    <row r="358" spans="1:8" s="1533" customFormat="1" ht="17.25" customHeight="1" x14ac:dyDescent="0.25">
      <c r="A358" s="1531"/>
      <c r="B358" s="1531"/>
      <c r="C358" s="1536" t="s">
        <v>859</v>
      </c>
      <c r="D358" s="1589"/>
      <c r="E358" s="1537">
        <v>252101914</v>
      </c>
      <c r="F358" s="1537">
        <v>3530875</v>
      </c>
      <c r="G358" s="1537">
        <v>248571039</v>
      </c>
      <c r="H358" s="1538">
        <v>0</v>
      </c>
    </row>
    <row r="359" spans="1:8" s="1533" customFormat="1" ht="17.25" customHeight="1" x14ac:dyDescent="0.25">
      <c r="A359" s="1531"/>
      <c r="B359" s="1531"/>
      <c r="C359" s="1536" t="s">
        <v>891</v>
      </c>
      <c r="D359" s="1589"/>
      <c r="E359" s="1537">
        <v>3530875</v>
      </c>
      <c r="F359" s="1537">
        <v>3530875</v>
      </c>
      <c r="G359" s="1538">
        <v>0</v>
      </c>
      <c r="H359" s="1538">
        <v>0</v>
      </c>
    </row>
    <row r="360" spans="1:8" s="1533" customFormat="1" ht="17.25" customHeight="1" x14ac:dyDescent="0.25">
      <c r="A360" s="1531"/>
      <c r="B360" s="1531"/>
      <c r="C360" s="1536" t="s">
        <v>892</v>
      </c>
      <c r="D360" s="1589"/>
      <c r="E360" s="1537">
        <v>3530875</v>
      </c>
      <c r="F360" s="1537">
        <v>3530875</v>
      </c>
      <c r="G360" s="1538">
        <v>0</v>
      </c>
      <c r="H360" s="1538">
        <v>0</v>
      </c>
    </row>
    <row r="361" spans="1:8" s="1533" customFormat="1" ht="17.25" customHeight="1" x14ac:dyDescent="0.25">
      <c r="A361" s="1531"/>
      <c r="B361" s="1531"/>
      <c r="C361" s="1536"/>
      <c r="D361" s="1589">
        <v>4254</v>
      </c>
      <c r="E361" s="1537">
        <v>3500000</v>
      </c>
      <c r="F361" s="1537">
        <v>3500000</v>
      </c>
      <c r="G361" s="1538">
        <v>0</v>
      </c>
      <c r="H361" s="1538">
        <v>0</v>
      </c>
    </row>
    <row r="362" spans="1:8" s="1533" customFormat="1" ht="17.25" customHeight="1" x14ac:dyDescent="0.25">
      <c r="A362" s="1531"/>
      <c r="B362" s="1531"/>
      <c r="C362" s="1536"/>
      <c r="D362" s="1589">
        <v>4272</v>
      </c>
      <c r="E362" s="1537">
        <v>30875</v>
      </c>
      <c r="F362" s="1537">
        <v>30875</v>
      </c>
      <c r="G362" s="1538">
        <v>0</v>
      </c>
      <c r="H362" s="1538">
        <v>0</v>
      </c>
    </row>
    <row r="363" spans="1:8" s="1533" customFormat="1" ht="17.25" customHeight="1" x14ac:dyDescent="0.25">
      <c r="A363" s="1531"/>
      <c r="B363" s="1531"/>
      <c r="C363" s="1536" t="s">
        <v>893</v>
      </c>
      <c r="D363" s="1589"/>
      <c r="E363" s="1537">
        <v>248571039</v>
      </c>
      <c r="F363" s="1538">
        <v>0</v>
      </c>
      <c r="G363" s="1537">
        <v>248571039</v>
      </c>
      <c r="H363" s="1538">
        <v>0</v>
      </c>
    </row>
    <row r="364" spans="1:8" s="1533" customFormat="1" ht="17.25" customHeight="1" x14ac:dyDescent="0.25">
      <c r="A364" s="1531"/>
      <c r="B364" s="1531"/>
      <c r="C364" s="1536" t="s">
        <v>894</v>
      </c>
      <c r="D364" s="1589"/>
      <c r="E364" s="1537">
        <v>248571039</v>
      </c>
      <c r="F364" s="1538">
        <v>0</v>
      </c>
      <c r="G364" s="1537">
        <v>248571039</v>
      </c>
      <c r="H364" s="1538">
        <v>0</v>
      </c>
    </row>
    <row r="365" spans="1:8" s="1533" customFormat="1" ht="17.25" customHeight="1" x14ac:dyDescent="0.25">
      <c r="A365" s="1531"/>
      <c r="B365" s="1531"/>
      <c r="C365" s="1536"/>
      <c r="D365" s="1589">
        <v>4917</v>
      </c>
      <c r="E365" s="1537">
        <v>89003972</v>
      </c>
      <c r="F365" s="1538">
        <v>0</v>
      </c>
      <c r="G365" s="1537">
        <v>89003972</v>
      </c>
      <c r="H365" s="1538">
        <v>0</v>
      </c>
    </row>
    <row r="366" spans="1:8" s="1533" customFormat="1" ht="17.25" customHeight="1" x14ac:dyDescent="0.25">
      <c r="A366" s="1531"/>
      <c r="B366" s="1531"/>
      <c r="C366" s="1536"/>
      <c r="D366" s="1589">
        <v>4931</v>
      </c>
      <c r="E366" s="1537">
        <v>44877532</v>
      </c>
      <c r="F366" s="1538">
        <v>0</v>
      </c>
      <c r="G366" s="1537">
        <v>44877532</v>
      </c>
      <c r="H366" s="1538">
        <v>0</v>
      </c>
    </row>
    <row r="367" spans="1:8" s="1533" customFormat="1" ht="17.25" customHeight="1" x14ac:dyDescent="0.25">
      <c r="A367" s="1531"/>
      <c r="B367" s="1531"/>
      <c r="C367" s="1536"/>
      <c r="D367" s="1589">
        <v>4934</v>
      </c>
      <c r="E367" s="1537">
        <v>405091</v>
      </c>
      <c r="F367" s="1538">
        <v>0</v>
      </c>
      <c r="G367" s="1537">
        <v>405091</v>
      </c>
      <c r="H367" s="1538">
        <v>0</v>
      </c>
    </row>
    <row r="368" spans="1:8" s="1533" customFormat="1" ht="17.25" customHeight="1" x14ac:dyDescent="0.25">
      <c r="A368" s="1531"/>
      <c r="B368" s="1531"/>
      <c r="C368" s="1536"/>
      <c r="D368" s="1589">
        <v>4944</v>
      </c>
      <c r="E368" s="1537">
        <v>114184444</v>
      </c>
      <c r="F368" s="1538">
        <v>0</v>
      </c>
      <c r="G368" s="1537">
        <v>114184444</v>
      </c>
      <c r="H368" s="1538">
        <v>0</v>
      </c>
    </row>
    <row r="369" spans="1:8" s="1533" customFormat="1" ht="17.25" customHeight="1" x14ac:dyDescent="0.25">
      <c r="A369" s="1531"/>
      <c r="B369" s="1531"/>
      <c r="C369" s="1536"/>
      <c r="D369" s="1589">
        <v>4949</v>
      </c>
      <c r="E369" s="1537">
        <v>100000</v>
      </c>
      <c r="F369" s="1538">
        <v>0</v>
      </c>
      <c r="G369" s="1537">
        <v>100000</v>
      </c>
      <c r="H369" s="1538">
        <v>0</v>
      </c>
    </row>
    <row r="370" spans="1:8" s="1533" customFormat="1" ht="17.25" customHeight="1" x14ac:dyDescent="0.25">
      <c r="A370" s="1536"/>
      <c r="B370" s="1536" t="s">
        <v>883</v>
      </c>
      <c r="C370" s="1531"/>
      <c r="D370" s="1592"/>
      <c r="E370" s="1537">
        <v>11912602</v>
      </c>
      <c r="F370" s="1538">
        <v>0</v>
      </c>
      <c r="G370" s="1537">
        <v>11912602</v>
      </c>
      <c r="H370" s="1538">
        <v>0</v>
      </c>
    </row>
    <row r="371" spans="1:8" s="1533" customFormat="1" ht="17.25" customHeight="1" x14ac:dyDescent="0.25">
      <c r="A371" s="1531"/>
      <c r="B371" s="1531"/>
      <c r="C371" s="1536" t="s">
        <v>858</v>
      </c>
      <c r="D371" s="1589"/>
      <c r="E371" s="1537">
        <v>11912602</v>
      </c>
      <c r="F371" s="1538">
        <v>0</v>
      </c>
      <c r="G371" s="1537">
        <v>11912602</v>
      </c>
      <c r="H371" s="1538">
        <v>0</v>
      </c>
    </row>
    <row r="372" spans="1:8" s="1533" customFormat="1" ht="17.25" customHeight="1" x14ac:dyDescent="0.25">
      <c r="A372" s="1531"/>
      <c r="B372" s="1531"/>
      <c r="C372" s="1536" t="s">
        <v>888</v>
      </c>
      <c r="D372" s="1589"/>
      <c r="E372" s="1537">
        <v>11912602</v>
      </c>
      <c r="F372" s="1538">
        <v>0</v>
      </c>
      <c r="G372" s="1537">
        <v>11912602</v>
      </c>
      <c r="H372" s="1538">
        <v>0</v>
      </c>
    </row>
    <row r="373" spans="1:8" s="1533" customFormat="1" ht="17.25" customHeight="1" x14ac:dyDescent="0.25">
      <c r="A373" s="1531"/>
      <c r="B373" s="1531"/>
      <c r="C373" s="1536" t="s">
        <v>890</v>
      </c>
      <c r="D373" s="1589"/>
      <c r="E373" s="1537">
        <v>11912602</v>
      </c>
      <c r="F373" s="1538">
        <v>0</v>
      </c>
      <c r="G373" s="1537">
        <v>11912602</v>
      </c>
      <c r="H373" s="1538">
        <v>0</v>
      </c>
    </row>
    <row r="374" spans="1:8" s="1533" customFormat="1" ht="17.25" customHeight="1" x14ac:dyDescent="0.25">
      <c r="A374" s="1531"/>
      <c r="B374" s="1531"/>
      <c r="C374" s="1536"/>
      <c r="D374" s="1589">
        <v>2801</v>
      </c>
      <c r="E374" s="1537">
        <v>11912602</v>
      </c>
      <c r="F374" s="1538">
        <v>0</v>
      </c>
      <c r="G374" s="1537">
        <v>11912602</v>
      </c>
      <c r="H374" s="1538">
        <v>0</v>
      </c>
    </row>
    <row r="375" spans="1:8" s="1533" customFormat="1" ht="17.25" customHeight="1" x14ac:dyDescent="0.25">
      <c r="A375" s="1536"/>
      <c r="B375" s="1536" t="s">
        <v>884</v>
      </c>
      <c r="C375" s="1531"/>
      <c r="D375" s="1592"/>
      <c r="E375" s="1537">
        <v>180068229577</v>
      </c>
      <c r="F375" s="1538">
        <v>0</v>
      </c>
      <c r="G375" s="1537">
        <v>5366000</v>
      </c>
      <c r="H375" s="1537">
        <v>180062863577</v>
      </c>
    </row>
    <row r="376" spans="1:8" s="1533" customFormat="1" ht="17.25" customHeight="1" x14ac:dyDescent="0.25">
      <c r="A376" s="1531"/>
      <c r="B376" s="1531"/>
      <c r="C376" s="1536" t="s">
        <v>858</v>
      </c>
      <c r="D376" s="1589"/>
      <c r="E376" s="1537">
        <v>5366000</v>
      </c>
      <c r="F376" s="1538">
        <v>0</v>
      </c>
      <c r="G376" s="1537">
        <v>5366000</v>
      </c>
      <c r="H376" s="1538">
        <v>0</v>
      </c>
    </row>
    <row r="377" spans="1:8" s="1533" customFormat="1" ht="17.25" customHeight="1" x14ac:dyDescent="0.25">
      <c r="A377" s="1531"/>
      <c r="B377" s="1531"/>
      <c r="C377" s="1536" t="s">
        <v>888</v>
      </c>
      <c r="D377" s="1589"/>
      <c r="E377" s="1537">
        <v>5366000</v>
      </c>
      <c r="F377" s="1538">
        <v>0</v>
      </c>
      <c r="G377" s="1537">
        <v>5366000</v>
      </c>
      <c r="H377" s="1538">
        <v>0</v>
      </c>
    </row>
    <row r="378" spans="1:8" s="1533" customFormat="1" ht="17.25" customHeight="1" x14ac:dyDescent="0.25">
      <c r="A378" s="1531"/>
      <c r="B378" s="1531"/>
      <c r="C378" s="1536" t="s">
        <v>906</v>
      </c>
      <c r="D378" s="1589"/>
      <c r="E378" s="1537">
        <v>5366000</v>
      </c>
      <c r="F378" s="1538">
        <v>0</v>
      </c>
      <c r="G378" s="1537">
        <v>5366000</v>
      </c>
      <c r="H378" s="1538">
        <v>0</v>
      </c>
    </row>
    <row r="379" spans="1:8" s="1533" customFormat="1" ht="17.25" customHeight="1" x14ac:dyDescent="0.25">
      <c r="A379" s="1531"/>
      <c r="B379" s="1531"/>
      <c r="C379" s="1536"/>
      <c r="D379" s="1589">
        <v>2716</v>
      </c>
      <c r="E379" s="1537">
        <v>5366000</v>
      </c>
      <c r="F379" s="1538">
        <v>0</v>
      </c>
      <c r="G379" s="1537">
        <v>5366000</v>
      </c>
      <c r="H379" s="1538">
        <v>0</v>
      </c>
    </row>
    <row r="380" spans="1:8" s="1533" customFormat="1" ht="17.25" customHeight="1" x14ac:dyDescent="0.25">
      <c r="A380" s="1531"/>
      <c r="B380" s="1531"/>
      <c r="C380" s="1536" t="s">
        <v>859</v>
      </c>
      <c r="D380" s="1589"/>
      <c r="E380" s="1537">
        <v>176211974615</v>
      </c>
      <c r="F380" s="1538">
        <v>0</v>
      </c>
      <c r="G380" s="1538">
        <v>0</v>
      </c>
      <c r="H380" s="1537">
        <v>176211974615</v>
      </c>
    </row>
    <row r="381" spans="1:8" s="1533" customFormat="1" ht="17.25" customHeight="1" x14ac:dyDescent="0.25">
      <c r="A381" s="1531"/>
      <c r="B381" s="1531"/>
      <c r="C381" s="1536" t="s">
        <v>912</v>
      </c>
      <c r="D381" s="1589"/>
      <c r="E381" s="1537">
        <v>176211974615</v>
      </c>
      <c r="F381" s="1538">
        <v>0</v>
      </c>
      <c r="G381" s="1538">
        <v>0</v>
      </c>
      <c r="H381" s="1537">
        <v>176211974615</v>
      </c>
    </row>
    <row r="382" spans="1:8" s="1533" customFormat="1" ht="17.25" customHeight="1" x14ac:dyDescent="0.25">
      <c r="A382" s="1531"/>
      <c r="B382" s="1531"/>
      <c r="C382" s="1536" t="s">
        <v>913</v>
      </c>
      <c r="D382" s="1589"/>
      <c r="E382" s="1537">
        <v>176107963105</v>
      </c>
      <c r="F382" s="1538">
        <v>0</v>
      </c>
      <c r="G382" s="1538">
        <v>0</v>
      </c>
      <c r="H382" s="1537">
        <v>176107963105</v>
      </c>
    </row>
    <row r="383" spans="1:8" s="1533" customFormat="1" ht="17.25" customHeight="1" x14ac:dyDescent="0.25">
      <c r="A383" s="1531"/>
      <c r="B383" s="1531"/>
      <c r="C383" s="1536"/>
      <c r="D383" s="1589">
        <v>4651</v>
      </c>
      <c r="E383" s="1537">
        <v>129620000000</v>
      </c>
      <c r="F383" s="1538">
        <v>0</v>
      </c>
      <c r="G383" s="1538">
        <v>0</v>
      </c>
      <c r="H383" s="1537">
        <v>129620000000</v>
      </c>
    </row>
    <row r="384" spans="1:8" s="1533" customFormat="1" ht="17.25" customHeight="1" x14ac:dyDescent="0.25">
      <c r="A384" s="1531"/>
      <c r="B384" s="1531"/>
      <c r="C384" s="1536"/>
      <c r="D384" s="1589">
        <v>4654</v>
      </c>
      <c r="E384" s="1537">
        <v>46487963105</v>
      </c>
      <c r="F384" s="1538">
        <v>0</v>
      </c>
      <c r="G384" s="1538">
        <v>0</v>
      </c>
      <c r="H384" s="1537">
        <v>46487963105</v>
      </c>
    </row>
    <row r="385" spans="1:8" s="1533" customFormat="1" ht="17.25" customHeight="1" x14ac:dyDescent="0.25">
      <c r="A385" s="1531"/>
      <c r="B385" s="1531"/>
      <c r="C385" s="1536" t="s">
        <v>914</v>
      </c>
      <c r="D385" s="1589"/>
      <c r="E385" s="1537">
        <v>104011510</v>
      </c>
      <c r="F385" s="1538">
        <v>0</v>
      </c>
      <c r="G385" s="1538">
        <v>0</v>
      </c>
      <c r="H385" s="1537">
        <v>104011510</v>
      </c>
    </row>
    <row r="386" spans="1:8" s="1533" customFormat="1" ht="17.25" customHeight="1" x14ac:dyDescent="0.25">
      <c r="A386" s="1531"/>
      <c r="B386" s="1531"/>
      <c r="C386" s="1536"/>
      <c r="D386" s="1589" t="s">
        <v>915</v>
      </c>
      <c r="E386" s="1537">
        <v>104011510</v>
      </c>
      <c r="F386" s="1538">
        <v>0</v>
      </c>
      <c r="G386" s="1538">
        <v>0</v>
      </c>
      <c r="H386" s="1537">
        <v>104011510</v>
      </c>
    </row>
    <row r="387" spans="1:8" s="1533" customFormat="1" ht="17.25" customHeight="1" x14ac:dyDescent="0.25">
      <c r="A387" s="1531"/>
      <c r="B387" s="1531"/>
      <c r="C387" s="1536" t="s">
        <v>885</v>
      </c>
      <c r="D387" s="1589"/>
      <c r="E387" s="1537">
        <v>3850888962</v>
      </c>
      <c r="F387" s="1538">
        <v>0</v>
      </c>
      <c r="G387" s="1538">
        <v>0</v>
      </c>
      <c r="H387" s="1537">
        <v>3850888962</v>
      </c>
    </row>
    <row r="388" spans="1:8" s="1533" customFormat="1" ht="17.25" customHeight="1" x14ac:dyDescent="0.25">
      <c r="A388" s="1531"/>
      <c r="B388" s="1531"/>
      <c r="C388" s="1536" t="s">
        <v>855</v>
      </c>
      <c r="D388" s="1589"/>
      <c r="E388" s="1537">
        <v>3850888962</v>
      </c>
      <c r="F388" s="1538">
        <v>0</v>
      </c>
      <c r="G388" s="1538">
        <v>0</v>
      </c>
      <c r="H388" s="1537">
        <v>3850888962</v>
      </c>
    </row>
    <row r="389" spans="1:8" s="1533" customFormat="1" ht="17.25" customHeight="1" x14ac:dyDescent="0.25">
      <c r="A389" s="1531"/>
      <c r="B389" s="1531"/>
      <c r="C389" s="1536" t="s">
        <v>916</v>
      </c>
      <c r="D389" s="1589"/>
      <c r="E389" s="1537">
        <v>3850888962</v>
      </c>
      <c r="F389" s="1538">
        <v>0</v>
      </c>
      <c r="G389" s="1538">
        <v>0</v>
      </c>
      <c r="H389" s="1537">
        <v>3850888962</v>
      </c>
    </row>
    <row r="390" spans="1:8" s="1533" customFormat="1" ht="17.25" customHeight="1" x14ac:dyDescent="0.25">
      <c r="A390" s="1531"/>
      <c r="B390" s="1531"/>
      <c r="C390" s="1536"/>
      <c r="D390" s="1593" t="s">
        <v>957</v>
      </c>
      <c r="E390" s="1537">
        <v>74000000</v>
      </c>
      <c r="F390" s="1538">
        <v>0</v>
      </c>
      <c r="G390" s="1538">
        <v>0</v>
      </c>
      <c r="H390" s="1537">
        <v>74000000</v>
      </c>
    </row>
    <row r="391" spans="1:8" s="1533" customFormat="1" ht="17.25" customHeight="1" x14ac:dyDescent="0.25">
      <c r="A391" s="1531"/>
      <c r="B391" s="1531"/>
      <c r="C391" s="1536"/>
      <c r="D391" s="1593" t="s">
        <v>958</v>
      </c>
      <c r="E391" s="1537">
        <v>1427001930</v>
      </c>
      <c r="F391" s="1538">
        <v>0</v>
      </c>
      <c r="G391" s="1538">
        <v>0</v>
      </c>
      <c r="H391" s="1537">
        <v>1427001930</v>
      </c>
    </row>
    <row r="392" spans="1:8" s="1533" customFormat="1" ht="17.25" customHeight="1" x14ac:dyDescent="0.25">
      <c r="A392" s="1531"/>
      <c r="B392" s="1531"/>
      <c r="C392" s="1536"/>
      <c r="D392" s="1593" t="s">
        <v>959</v>
      </c>
      <c r="E392" s="1537">
        <v>835684273</v>
      </c>
      <c r="F392" s="1538">
        <v>0</v>
      </c>
      <c r="G392" s="1538">
        <v>0</v>
      </c>
      <c r="H392" s="1537">
        <v>835684273</v>
      </c>
    </row>
    <row r="393" spans="1:8" s="1533" customFormat="1" ht="17.25" customHeight="1" x14ac:dyDescent="0.25">
      <c r="A393" s="1531"/>
      <c r="B393" s="1531"/>
      <c r="C393" s="1536"/>
      <c r="D393" s="1593" t="s">
        <v>956</v>
      </c>
      <c r="E393" s="1537">
        <v>291800000</v>
      </c>
      <c r="F393" s="1538">
        <v>0</v>
      </c>
      <c r="G393" s="1538">
        <v>0</v>
      </c>
      <c r="H393" s="1537">
        <v>291800000</v>
      </c>
    </row>
    <row r="394" spans="1:8" s="1533" customFormat="1" ht="17.25" customHeight="1" x14ac:dyDescent="0.25">
      <c r="A394" s="1531"/>
      <c r="B394" s="1531"/>
      <c r="C394" s="1536"/>
      <c r="D394" s="1593" t="s">
        <v>960</v>
      </c>
      <c r="E394" s="1537">
        <v>1222402759</v>
      </c>
      <c r="F394" s="1538">
        <v>0</v>
      </c>
      <c r="G394" s="1538">
        <v>0</v>
      </c>
      <c r="H394" s="1537">
        <v>1222402759</v>
      </c>
    </row>
    <row r="395" spans="1:8" s="1533" customFormat="1" ht="17.25" customHeight="1" x14ac:dyDescent="0.25">
      <c r="A395" s="1536"/>
      <c r="B395" s="1536" t="s">
        <v>955</v>
      </c>
      <c r="C395" s="1531"/>
      <c r="D395" s="1592"/>
      <c r="E395" s="1537">
        <v>540102603</v>
      </c>
      <c r="F395" s="1537">
        <v>770928</v>
      </c>
      <c r="G395" s="1537">
        <v>539331675</v>
      </c>
      <c r="H395" s="1538">
        <v>0</v>
      </c>
    </row>
    <row r="396" spans="1:8" s="1533" customFormat="1" ht="17.25" customHeight="1" x14ac:dyDescent="0.25">
      <c r="A396" s="1531"/>
      <c r="B396" s="1531"/>
      <c r="C396" s="1536" t="s">
        <v>858</v>
      </c>
      <c r="D396" s="1589"/>
      <c r="E396" s="1537">
        <v>61236000</v>
      </c>
      <c r="F396" s="1538">
        <v>0</v>
      </c>
      <c r="G396" s="1537">
        <v>61236000</v>
      </c>
      <c r="H396" s="1538">
        <v>0</v>
      </c>
    </row>
    <row r="397" spans="1:8" s="1533" customFormat="1" ht="17.25" customHeight="1" x14ac:dyDescent="0.25">
      <c r="A397" s="1531"/>
      <c r="B397" s="1531"/>
      <c r="C397" s="1536" t="s">
        <v>895</v>
      </c>
      <c r="D397" s="1589"/>
      <c r="E397" s="1537">
        <v>10800000</v>
      </c>
      <c r="F397" s="1538">
        <v>0</v>
      </c>
      <c r="G397" s="1537">
        <v>10800000</v>
      </c>
      <c r="H397" s="1538">
        <v>0</v>
      </c>
    </row>
    <row r="398" spans="1:8" s="1533" customFormat="1" ht="17.25" customHeight="1" x14ac:dyDescent="0.25">
      <c r="A398" s="1531"/>
      <c r="B398" s="1531"/>
      <c r="C398" s="1536" t="s">
        <v>896</v>
      </c>
      <c r="D398" s="1589"/>
      <c r="E398" s="1537">
        <v>10800000</v>
      </c>
      <c r="F398" s="1538">
        <v>0</v>
      </c>
      <c r="G398" s="1537">
        <v>10800000</v>
      </c>
      <c r="H398" s="1538">
        <v>0</v>
      </c>
    </row>
    <row r="399" spans="1:8" s="1533" customFormat="1" ht="17.25" customHeight="1" x14ac:dyDescent="0.25">
      <c r="A399" s="1531"/>
      <c r="B399" s="1531"/>
      <c r="C399" s="1536"/>
      <c r="D399" s="1589">
        <v>1052</v>
      </c>
      <c r="E399" s="1537">
        <v>10800000</v>
      </c>
      <c r="F399" s="1538">
        <v>0</v>
      </c>
      <c r="G399" s="1537">
        <v>10800000</v>
      </c>
      <c r="H399" s="1538">
        <v>0</v>
      </c>
    </row>
    <row r="400" spans="1:8" s="1533" customFormat="1" ht="17.25" customHeight="1" x14ac:dyDescent="0.25">
      <c r="A400" s="1531"/>
      <c r="B400" s="1531"/>
      <c r="C400" s="1536" t="s">
        <v>888</v>
      </c>
      <c r="D400" s="1589"/>
      <c r="E400" s="1537">
        <v>50436000</v>
      </c>
      <c r="F400" s="1538">
        <v>0</v>
      </c>
      <c r="G400" s="1537">
        <v>50436000</v>
      </c>
      <c r="H400" s="1538">
        <v>0</v>
      </c>
    </row>
    <row r="401" spans="1:9" s="1533" customFormat="1" ht="17.25" customHeight="1" x14ac:dyDescent="0.25">
      <c r="A401" s="1531"/>
      <c r="B401" s="1531"/>
      <c r="C401" s="1536" t="s">
        <v>890</v>
      </c>
      <c r="D401" s="1589"/>
      <c r="E401" s="1537">
        <v>50436000</v>
      </c>
      <c r="F401" s="1538">
        <v>0</v>
      </c>
      <c r="G401" s="1537">
        <v>50436000</v>
      </c>
      <c r="H401" s="1538">
        <v>0</v>
      </c>
    </row>
    <row r="402" spans="1:9" s="1533" customFormat="1" ht="17.25" customHeight="1" x14ac:dyDescent="0.25">
      <c r="A402" s="1531"/>
      <c r="B402" s="1531"/>
      <c r="C402" s="1536"/>
      <c r="D402" s="1589">
        <v>2802</v>
      </c>
      <c r="E402" s="1537">
        <v>28384000</v>
      </c>
      <c r="F402" s="1538">
        <v>0</v>
      </c>
      <c r="G402" s="1537">
        <v>28384000</v>
      </c>
      <c r="H402" s="1538">
        <v>0</v>
      </c>
    </row>
    <row r="403" spans="1:9" s="1533" customFormat="1" ht="17.25" customHeight="1" x14ac:dyDescent="0.25">
      <c r="A403" s="1531"/>
      <c r="B403" s="1531"/>
      <c r="C403" s="1536"/>
      <c r="D403" s="1589">
        <v>2804</v>
      </c>
      <c r="E403" s="1537">
        <v>21600000</v>
      </c>
      <c r="F403" s="1538">
        <v>0</v>
      </c>
      <c r="G403" s="1537">
        <v>21600000</v>
      </c>
      <c r="H403" s="1538">
        <v>0</v>
      </c>
    </row>
    <row r="404" spans="1:9" s="1533" customFormat="1" ht="17.25" customHeight="1" x14ac:dyDescent="0.25">
      <c r="A404" s="1531"/>
      <c r="B404" s="1531"/>
      <c r="C404" s="1536"/>
      <c r="D404" s="1589">
        <v>2824</v>
      </c>
      <c r="E404" s="1537">
        <v>452000</v>
      </c>
      <c r="F404" s="1538">
        <v>0</v>
      </c>
      <c r="G404" s="1537">
        <v>452000</v>
      </c>
      <c r="H404" s="1538">
        <v>0</v>
      </c>
    </row>
    <row r="405" spans="1:9" s="1533" customFormat="1" ht="17.25" customHeight="1" x14ac:dyDescent="0.25">
      <c r="A405" s="1531"/>
      <c r="B405" s="1531"/>
      <c r="C405" s="1536" t="s">
        <v>859</v>
      </c>
      <c r="D405" s="1589"/>
      <c r="E405" s="1537">
        <v>478866603</v>
      </c>
      <c r="F405" s="1537">
        <v>770928</v>
      </c>
      <c r="G405" s="1537">
        <v>478095675</v>
      </c>
      <c r="H405" s="1538">
        <v>0</v>
      </c>
    </row>
    <row r="406" spans="1:9" s="1533" customFormat="1" ht="17.25" customHeight="1" x14ac:dyDescent="0.25">
      <c r="A406" s="1531"/>
      <c r="B406" s="1531"/>
      <c r="C406" s="1536" t="s">
        <v>891</v>
      </c>
      <c r="D406" s="1589"/>
      <c r="E406" s="1537">
        <v>770928</v>
      </c>
      <c r="F406" s="1537">
        <v>770928</v>
      </c>
      <c r="G406" s="1538">
        <v>0</v>
      </c>
      <c r="H406" s="1538">
        <v>0</v>
      </c>
    </row>
    <row r="407" spans="1:9" s="1533" customFormat="1" ht="17.25" customHeight="1" x14ac:dyDescent="0.25">
      <c r="A407" s="1531"/>
      <c r="B407" s="1531"/>
      <c r="C407" s="1536" t="s">
        <v>892</v>
      </c>
      <c r="D407" s="1589"/>
      <c r="E407" s="1537">
        <v>770928</v>
      </c>
      <c r="F407" s="1537">
        <v>770928</v>
      </c>
      <c r="G407" s="1538">
        <v>0</v>
      </c>
      <c r="H407" s="1538">
        <v>0</v>
      </c>
    </row>
    <row r="408" spans="1:9" s="1533" customFormat="1" ht="17.25" customHeight="1" x14ac:dyDescent="0.25">
      <c r="A408" s="1531"/>
      <c r="B408" s="1531"/>
      <c r="C408" s="1536"/>
      <c r="D408" s="1589">
        <v>4272</v>
      </c>
      <c r="E408" s="1537">
        <v>770928</v>
      </c>
      <c r="F408" s="1537">
        <v>770928</v>
      </c>
      <c r="G408" s="1538">
        <v>0</v>
      </c>
      <c r="H408" s="1538">
        <v>0</v>
      </c>
    </row>
    <row r="409" spans="1:9" s="1533" customFormat="1" ht="17.25" customHeight="1" x14ac:dyDescent="0.25">
      <c r="A409" s="1531"/>
      <c r="B409" s="1531"/>
      <c r="C409" s="1536" t="s">
        <v>893</v>
      </c>
      <c r="D409" s="1589"/>
      <c r="E409" s="1537">
        <v>478095675</v>
      </c>
      <c r="F409" s="1538">
        <v>0</v>
      </c>
      <c r="G409" s="1537">
        <v>478095675</v>
      </c>
      <c r="H409" s="1538">
        <v>0</v>
      </c>
    </row>
    <row r="410" spans="1:9" s="1533" customFormat="1" ht="17.25" customHeight="1" x14ac:dyDescent="0.25">
      <c r="A410" s="1531"/>
      <c r="B410" s="1531"/>
      <c r="C410" s="1536" t="s">
        <v>894</v>
      </c>
      <c r="D410" s="1589"/>
      <c r="E410" s="1537">
        <v>478095675</v>
      </c>
      <c r="F410" s="1538">
        <v>0</v>
      </c>
      <c r="G410" s="1537">
        <v>478095675</v>
      </c>
      <c r="H410" s="1538">
        <v>0</v>
      </c>
    </row>
    <row r="411" spans="1:9" s="1533" customFormat="1" ht="17.25" customHeight="1" x14ac:dyDescent="0.25">
      <c r="A411" s="1531"/>
      <c r="B411" s="1531"/>
      <c r="C411" s="1536"/>
      <c r="D411" s="1589">
        <v>4902</v>
      </c>
      <c r="E411" s="1537">
        <v>475803285</v>
      </c>
      <c r="F411" s="1538">
        <v>0</v>
      </c>
      <c r="G411" s="1537">
        <v>475803285</v>
      </c>
      <c r="H411" s="1538">
        <v>0</v>
      </c>
    </row>
    <row r="412" spans="1:9" s="1533" customFormat="1" ht="17.25" customHeight="1" x14ac:dyDescent="0.25">
      <c r="A412" s="1531"/>
      <c r="B412" s="1531"/>
      <c r="C412" s="1536"/>
      <c r="D412" s="1589">
        <v>4917</v>
      </c>
      <c r="E412" s="1537">
        <v>185910</v>
      </c>
      <c r="F412" s="1538">
        <v>0</v>
      </c>
      <c r="G412" s="1537">
        <v>185910</v>
      </c>
      <c r="H412" s="1538">
        <v>0</v>
      </c>
    </row>
    <row r="413" spans="1:9" s="1533" customFormat="1" ht="17.25" customHeight="1" x14ac:dyDescent="0.25">
      <c r="A413" s="1531"/>
      <c r="B413" s="1531"/>
      <c r="C413" s="1536"/>
      <c r="D413" s="1589">
        <v>4918</v>
      </c>
      <c r="E413" s="1537">
        <v>431977</v>
      </c>
      <c r="F413" s="1538">
        <v>0</v>
      </c>
      <c r="G413" s="1537">
        <v>431977</v>
      </c>
      <c r="H413" s="1538">
        <v>0</v>
      </c>
    </row>
    <row r="414" spans="1:9" s="1533" customFormat="1" ht="17.25" customHeight="1" x14ac:dyDescent="0.25">
      <c r="A414" s="1531"/>
      <c r="B414" s="1531"/>
      <c r="C414" s="1536"/>
      <c r="D414" s="1589">
        <v>4931</v>
      </c>
      <c r="E414" s="1537">
        <v>1674503</v>
      </c>
      <c r="F414" s="1538">
        <v>0</v>
      </c>
      <c r="G414" s="1537">
        <v>1674503</v>
      </c>
      <c r="H414" s="1538">
        <v>0</v>
      </c>
    </row>
    <row r="415" spans="1:9" ht="25.5" customHeight="1" x14ac:dyDescent="0.25">
      <c r="A415" s="1539"/>
      <c r="B415" s="1539"/>
      <c r="C415" s="1542"/>
      <c r="D415" s="1594"/>
      <c r="E415" s="1539"/>
      <c r="F415" s="1539"/>
      <c r="G415" s="1539"/>
      <c r="H415" s="1539"/>
      <c r="I415" s="1539"/>
    </row>
    <row r="416" spans="1:9" s="92" customFormat="1" ht="21.75" customHeight="1" x14ac:dyDescent="0.25">
      <c r="A416" s="1772" t="s">
        <v>548</v>
      </c>
      <c r="B416" s="1772"/>
      <c r="C416" s="1772"/>
      <c r="D416" s="1772"/>
      <c r="E416" s="1772"/>
      <c r="F416" s="1871" t="s">
        <v>548</v>
      </c>
      <c r="G416" s="1871"/>
      <c r="H416" s="1871"/>
    </row>
    <row r="417" spans="1:8" s="92" customFormat="1" ht="15.75" customHeight="1" x14ac:dyDescent="0.25">
      <c r="A417" s="1757" t="s">
        <v>462</v>
      </c>
      <c r="B417" s="1757"/>
      <c r="C417" s="1757"/>
      <c r="D417" s="1757"/>
      <c r="E417" s="1757"/>
      <c r="F417" s="1757" t="s">
        <v>461</v>
      </c>
      <c r="G417" s="1757"/>
      <c r="H417" s="1757"/>
    </row>
    <row r="418" spans="1:8" s="92" customFormat="1" ht="15.75" customHeight="1" x14ac:dyDescent="0.25">
      <c r="A418" s="1772" t="s">
        <v>14</v>
      </c>
      <c r="B418" s="1772"/>
      <c r="C418" s="1772"/>
      <c r="D418" s="1772"/>
      <c r="E418" s="1772"/>
      <c r="F418" s="1870"/>
      <c r="G418" s="1870"/>
      <c r="H418" s="1870"/>
    </row>
    <row r="419" spans="1:8" s="92" customFormat="1" ht="15.75" x14ac:dyDescent="0.25">
      <c r="A419" s="12"/>
      <c r="B419" s="12"/>
      <c r="C419" s="1543"/>
      <c r="D419" s="976"/>
      <c r="E419" s="873"/>
      <c r="F419" s="873"/>
      <c r="G419" s="873"/>
      <c r="H419" s="350"/>
    </row>
    <row r="420" spans="1:8" s="92" customFormat="1" ht="15.75" x14ac:dyDescent="0.25">
      <c r="A420" s="12"/>
      <c r="B420" s="12"/>
      <c r="C420" s="1543"/>
      <c r="D420" s="976"/>
      <c r="E420" s="873"/>
      <c r="F420" s="873"/>
      <c r="G420" s="873"/>
      <c r="H420" s="350"/>
    </row>
    <row r="421" spans="1:8" s="92" customFormat="1" ht="15.75" x14ac:dyDescent="0.25">
      <c r="A421" s="12"/>
      <c r="B421" s="12"/>
      <c r="C421" s="1543"/>
      <c r="D421" s="976"/>
      <c r="E421" s="873"/>
      <c r="F421" s="873"/>
      <c r="G421" s="873"/>
      <c r="H421" s="350"/>
    </row>
    <row r="422" spans="1:8" s="92" customFormat="1" ht="15.75" x14ac:dyDescent="0.25">
      <c r="A422" s="12"/>
      <c r="B422" s="12"/>
      <c r="C422" s="1543"/>
      <c r="D422" s="976"/>
      <c r="E422" s="873"/>
      <c r="F422" s="873"/>
      <c r="G422" s="873"/>
      <c r="H422" s="350"/>
    </row>
    <row r="423" spans="1:8" s="92" customFormat="1" ht="15.75" x14ac:dyDescent="0.25">
      <c r="A423" s="12"/>
      <c r="B423" s="12"/>
      <c r="C423" s="1543"/>
      <c r="D423" s="976"/>
      <c r="E423" s="873"/>
      <c r="F423" s="1866" t="s">
        <v>460</v>
      </c>
      <c r="G423" s="1866"/>
      <c r="H423" s="1866"/>
    </row>
    <row r="424" spans="1:8" s="92" customFormat="1" ht="15.75" x14ac:dyDescent="0.25">
      <c r="A424" s="12"/>
      <c r="B424" s="12"/>
      <c r="C424" s="1543"/>
      <c r="D424" s="976"/>
      <c r="E424" s="872"/>
      <c r="F424" s="872"/>
      <c r="G424" s="1866"/>
      <c r="H424" s="1866"/>
    </row>
  </sheetData>
  <mergeCells count="15">
    <mergeCell ref="G1:H1"/>
    <mergeCell ref="A3:H3"/>
    <mergeCell ref="A4:H4"/>
    <mergeCell ref="G424:H424"/>
    <mergeCell ref="G5:H5"/>
    <mergeCell ref="A416:E416"/>
    <mergeCell ref="A417:E417"/>
    <mergeCell ref="A418:E418"/>
    <mergeCell ref="A8:B8"/>
    <mergeCell ref="A9:B9"/>
    <mergeCell ref="F417:H417"/>
    <mergeCell ref="F418:H418"/>
    <mergeCell ref="F423:H423"/>
    <mergeCell ref="F416:H416"/>
    <mergeCell ref="A7:B7"/>
  </mergeCells>
  <printOptions horizontalCentered="1"/>
  <pageMargins left="0.2" right="0.21" top="0.38" bottom="0.36"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zoomScaleSheetLayoutView="115" workbookViewId="0">
      <selection activeCell="D20" sqref="D20"/>
    </sheetView>
  </sheetViews>
  <sheetFormatPr defaultColWidth="9.140625" defaultRowHeight="15" x14ac:dyDescent="0.25"/>
  <cols>
    <col min="1" max="1" width="6.42578125" style="92" customWidth="1"/>
    <col min="2" max="2" width="40.85546875" style="92" customWidth="1"/>
    <col min="3" max="3" width="16.85546875" style="92" customWidth="1"/>
    <col min="4" max="4" width="16.28515625" style="92" customWidth="1"/>
    <col min="5" max="5" width="12.85546875" style="92" customWidth="1"/>
    <col min="6" max="16384" width="9.140625" style="92"/>
  </cols>
  <sheetData>
    <row r="1" spans="1:5" s="994" customFormat="1" ht="21.75" customHeight="1" x14ac:dyDescent="0.25">
      <c r="A1" s="1028" t="str">
        <f>'48N'!A1</f>
        <v>UBND PHƯỜNG ĐỨC XUÂN</v>
      </c>
      <c r="D1" s="1756" t="s">
        <v>538</v>
      </c>
      <c r="E1" s="1756"/>
    </row>
    <row r="2" spans="1:5" ht="10.5" customHeight="1" x14ac:dyDescent="0.25">
      <c r="A2" s="156"/>
      <c r="E2" s="2"/>
    </row>
    <row r="3" spans="1:5" ht="31.15" customHeight="1" x14ac:dyDescent="0.25">
      <c r="A3" s="1757" t="s">
        <v>539</v>
      </c>
      <c r="B3" s="1757"/>
      <c r="C3" s="1757"/>
      <c r="D3" s="1757"/>
      <c r="E3" s="1757"/>
    </row>
    <row r="4" spans="1:5" ht="21" customHeight="1" x14ac:dyDescent="0.25">
      <c r="A4" s="1761" t="str">
        <f>'48N'!A4:F4</f>
        <v>(Kèm theo Tờ trình số    /TTr-KTHT&amp;ĐT ngày      /4/2026 của phòng KTHT&amp;ĐT phường Đức Xuân)</v>
      </c>
      <c r="B4" s="1761"/>
      <c r="C4" s="1761"/>
      <c r="D4" s="1761"/>
      <c r="E4" s="1761"/>
    </row>
    <row r="5" spans="1:5" ht="10.5" customHeight="1" x14ac:dyDescent="0.25">
      <c r="A5" s="1110"/>
      <c r="B5" s="1110"/>
      <c r="C5" s="1110"/>
      <c r="D5" s="1110"/>
      <c r="E5" s="1110"/>
    </row>
    <row r="6" spans="1:5" ht="15.75" x14ac:dyDescent="0.25">
      <c r="E6" s="191" t="s">
        <v>427</v>
      </c>
    </row>
    <row r="7" spans="1:5" ht="24.75" customHeight="1" x14ac:dyDescent="0.25">
      <c r="A7" s="1109" t="s">
        <v>1</v>
      </c>
      <c r="B7" s="1109" t="s">
        <v>2</v>
      </c>
      <c r="C7" s="1109" t="s">
        <v>3</v>
      </c>
      <c r="D7" s="1109" t="s">
        <v>169</v>
      </c>
      <c r="E7" s="1109" t="s">
        <v>183</v>
      </c>
    </row>
    <row r="8" spans="1:5" ht="18" customHeight="1" x14ac:dyDescent="0.25">
      <c r="A8" s="999" t="s">
        <v>4</v>
      </c>
      <c r="B8" s="999" t="s">
        <v>5</v>
      </c>
      <c r="C8" s="999">
        <v>1</v>
      </c>
      <c r="D8" s="999">
        <v>2</v>
      </c>
      <c r="E8" s="999">
        <v>3</v>
      </c>
    </row>
    <row r="9" spans="1:5" s="156" customFormat="1" ht="25.5" customHeight="1" x14ac:dyDescent="0.2">
      <c r="A9" s="1109" t="s">
        <v>4</v>
      </c>
      <c r="B9" s="205" t="s">
        <v>262</v>
      </c>
      <c r="C9" s="206"/>
      <c r="D9" s="206"/>
      <c r="E9" s="207"/>
    </row>
    <row r="10" spans="1:5" s="156" customFormat="1" ht="25.5" customHeight="1" x14ac:dyDescent="0.2">
      <c r="A10" s="202" t="s">
        <v>6</v>
      </c>
      <c r="B10" s="203" t="s">
        <v>184</v>
      </c>
      <c r="C10" s="1000">
        <f>C11+C12+C15+C16</f>
        <v>131541000</v>
      </c>
      <c r="D10" s="204">
        <f>D11+D12+D15+D16+D17</f>
        <v>180392183.704</v>
      </c>
      <c r="E10" s="996">
        <f>D10/C10</f>
        <v>1.3713761010179335</v>
      </c>
    </row>
    <row r="11" spans="1:5" ht="25.5" customHeight="1" x14ac:dyDescent="0.25">
      <c r="A11" s="194">
        <v>1</v>
      </c>
      <c r="B11" s="195" t="s">
        <v>185</v>
      </c>
      <c r="C11" s="1001"/>
      <c r="D11" s="196">
        <f>'60'!I11+'60'!I35</f>
        <v>329320.12699999998</v>
      </c>
      <c r="E11" s="996"/>
    </row>
    <row r="12" spans="1:5" ht="25.5" customHeight="1" x14ac:dyDescent="0.25">
      <c r="A12" s="194">
        <v>2</v>
      </c>
      <c r="B12" s="195" t="s">
        <v>55</v>
      </c>
      <c r="C12" s="1001">
        <f>C13+C14</f>
        <v>131541000</v>
      </c>
      <c r="D12" s="196">
        <f>D13+D14</f>
        <v>176107963.10499999</v>
      </c>
      <c r="E12" s="997">
        <f t="shared" ref="E12:E19" si="0">D12/C12</f>
        <v>1.3388066314305045</v>
      </c>
    </row>
    <row r="13" spans="1:5" ht="25.5" customHeight="1" x14ac:dyDescent="0.25">
      <c r="A13" s="194" t="s">
        <v>25</v>
      </c>
      <c r="B13" s="195" t="s">
        <v>56</v>
      </c>
      <c r="C13" s="1001">
        <v>130344000</v>
      </c>
      <c r="D13" s="196">
        <f>'60'!I39</f>
        <v>129620000</v>
      </c>
      <c r="E13" s="997">
        <f t="shared" si="0"/>
        <v>0.99444546737862882</v>
      </c>
    </row>
    <row r="14" spans="1:5" ht="25.5" customHeight="1" x14ac:dyDescent="0.25">
      <c r="A14" s="194" t="s">
        <v>25</v>
      </c>
      <c r="B14" s="195" t="s">
        <v>57</v>
      </c>
      <c r="C14" s="1001">
        <v>1197000</v>
      </c>
      <c r="D14" s="196">
        <f>'60'!I41</f>
        <v>46487963.104999997</v>
      </c>
      <c r="E14" s="997">
        <f t="shared" si="0"/>
        <v>38.837061908939013</v>
      </c>
    </row>
    <row r="15" spans="1:5" ht="25.5" customHeight="1" x14ac:dyDescent="0.25">
      <c r="A15" s="194">
        <v>3</v>
      </c>
      <c r="B15" s="195" t="s">
        <v>255</v>
      </c>
      <c r="C15" s="1001"/>
      <c r="D15" s="196"/>
      <c r="E15" s="996"/>
    </row>
    <row r="16" spans="1:5" ht="25.5" customHeight="1" x14ac:dyDescent="0.25">
      <c r="A16" s="194">
        <v>4</v>
      </c>
      <c r="B16" s="195" t="s">
        <v>58</v>
      </c>
      <c r="C16" s="1001"/>
      <c r="D16" s="196">
        <f>'60'!I45</f>
        <v>104011.51</v>
      </c>
      <c r="E16" s="996"/>
    </row>
    <row r="17" spans="1:5" ht="25.5" customHeight="1" x14ac:dyDescent="0.25">
      <c r="A17" s="194">
        <v>5</v>
      </c>
      <c r="B17" s="195" t="s">
        <v>59</v>
      </c>
      <c r="C17" s="1001"/>
      <c r="D17" s="196">
        <f>'60'!I44</f>
        <v>3850888.9619999998</v>
      </c>
      <c r="E17" s="996"/>
    </row>
    <row r="18" spans="1:5" s="156" customFormat="1" ht="25.5" customHeight="1" x14ac:dyDescent="0.2">
      <c r="A18" s="192" t="s">
        <v>12</v>
      </c>
      <c r="B18" s="193" t="s">
        <v>187</v>
      </c>
      <c r="C18" s="1002">
        <f>C19+C20+C21</f>
        <v>131541000</v>
      </c>
      <c r="D18" s="995">
        <f>D19+D20+D21</f>
        <v>178645584.73699999</v>
      </c>
      <c r="E18" s="996">
        <f t="shared" si="0"/>
        <v>1.3580981194988633</v>
      </c>
    </row>
    <row r="19" spans="1:5" ht="25.5" customHeight="1" x14ac:dyDescent="0.25">
      <c r="A19" s="194">
        <v>1</v>
      </c>
      <c r="B19" s="195" t="s">
        <v>266</v>
      </c>
      <c r="C19" s="1001">
        <v>131541000</v>
      </c>
      <c r="D19" s="196">
        <f>'61'!E9-'61'!E53</f>
        <v>154354361.502</v>
      </c>
      <c r="E19" s="997">
        <f t="shared" si="0"/>
        <v>1.1734315650785687</v>
      </c>
    </row>
    <row r="20" spans="1:5" ht="25.5" customHeight="1" x14ac:dyDescent="0.25">
      <c r="A20" s="194">
        <v>2</v>
      </c>
      <c r="B20" s="195" t="s">
        <v>256</v>
      </c>
      <c r="C20" s="1001"/>
      <c r="D20" s="196">
        <f>'61'!G60</f>
        <v>104011.51</v>
      </c>
      <c r="E20" s="996"/>
    </row>
    <row r="21" spans="1:5" ht="25.5" customHeight="1" x14ac:dyDescent="0.25">
      <c r="A21" s="194">
        <v>3</v>
      </c>
      <c r="B21" s="195" t="s">
        <v>62</v>
      </c>
      <c r="C21" s="1001"/>
      <c r="D21" s="196">
        <f>'61'!G53</f>
        <v>24187211.725000001</v>
      </c>
      <c r="E21" s="996"/>
    </row>
    <row r="22" spans="1:5" s="156" customFormat="1" ht="25.5" customHeight="1" x14ac:dyDescent="0.2">
      <c r="A22" s="197" t="s">
        <v>19</v>
      </c>
      <c r="B22" s="198" t="s">
        <v>188</v>
      </c>
      <c r="C22" s="1003"/>
      <c r="D22" s="199">
        <f>D10-D18</f>
        <v>1746598.9670000076</v>
      </c>
      <c r="E22" s="998"/>
    </row>
  </sheetData>
  <mergeCells count="3">
    <mergeCell ref="A3:E3"/>
    <mergeCell ref="A4:E4"/>
    <mergeCell ref="D1:E1"/>
  </mergeCells>
  <printOptions horizontalCentered="1"/>
  <pageMargins left="0.59055118110236204" right="0.39370078740157499" top="0.74803149606299202" bottom="0.55118110236220497" header="0.31496062992126" footer="0.31496062992126"/>
  <pageSetup paperSize="9" firstPageNumber="13"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8"/>
  <sheetViews>
    <sheetView view="pageBreakPreview" zoomScale="110" zoomScaleNormal="100" zoomScaleSheetLayoutView="110" workbookViewId="0">
      <pane ySplit="6" topLeftCell="A7" activePane="bottomLeft" state="frozen"/>
      <selection pane="bottomLeft" activeCell="F2" sqref="F2"/>
    </sheetView>
  </sheetViews>
  <sheetFormatPr defaultRowHeight="12.75" x14ac:dyDescent="0.25"/>
  <cols>
    <col min="1" max="1" width="9.140625" style="1554"/>
    <col min="2" max="2" width="14.42578125" style="1554" customWidth="1"/>
    <col min="3" max="3" width="17.28515625" style="1682" customWidth="1"/>
    <col min="4" max="4" width="17.28515625" style="1680" customWidth="1"/>
    <col min="5" max="6" width="13" style="1684" customWidth="1"/>
    <col min="7" max="7" width="14.85546875" style="1554" customWidth="1"/>
    <col min="8" max="8" width="28.7109375" style="1554" customWidth="1"/>
    <col min="9" max="16384" width="9.140625" style="1554"/>
  </cols>
  <sheetData>
    <row r="1" spans="1:7" s="1557" customFormat="1" ht="17.25" customHeight="1" x14ac:dyDescent="0.25">
      <c r="A1" s="1558" t="str">
        <f>'48N'!A1</f>
        <v>UBND PHƯỜNG ĐỨC XUÂN</v>
      </c>
      <c r="C1" s="1681"/>
      <c r="D1" s="1679"/>
      <c r="E1" s="1683"/>
      <c r="F1" s="1856" t="s">
        <v>1046</v>
      </c>
      <c r="G1" s="1856"/>
    </row>
    <row r="2" spans="1:7" s="1557" customFormat="1" ht="15" x14ac:dyDescent="0.25">
      <c r="C2" s="1681"/>
      <c r="D2" s="1679"/>
      <c r="E2" s="1683"/>
      <c r="F2" s="1683"/>
    </row>
    <row r="3" spans="1:7" s="1557" customFormat="1" ht="21" customHeight="1" x14ac:dyDescent="0.25">
      <c r="B3" s="1864" t="s">
        <v>1025</v>
      </c>
      <c r="C3" s="1864"/>
      <c r="D3" s="1864"/>
      <c r="E3" s="1864"/>
      <c r="F3" s="1864"/>
      <c r="G3" s="1864"/>
    </row>
    <row r="4" spans="1:7" s="1557" customFormat="1" ht="18" customHeight="1" x14ac:dyDescent="0.25">
      <c r="A4" s="1874" t="str">
        <f>'48N'!A4:F4</f>
        <v>(Kèm theo Tờ trình số    /TTr-KTHT&amp;ĐT ngày      /4/2026 của phòng KTHT&amp;ĐT phường Đức Xuân)</v>
      </c>
      <c r="B4" s="1874"/>
      <c r="C4" s="1874"/>
      <c r="D4" s="1874"/>
      <c r="E4" s="1874"/>
      <c r="F4" s="1874"/>
      <c r="G4" s="1874"/>
    </row>
    <row r="5" spans="1:7" s="1557" customFormat="1" ht="25.5" customHeight="1" x14ac:dyDescent="0.25">
      <c r="C5" s="1681"/>
      <c r="D5" s="1679"/>
      <c r="E5" s="1683"/>
      <c r="F5" s="1683"/>
      <c r="G5" s="1559" t="s">
        <v>265</v>
      </c>
    </row>
    <row r="6" spans="1:7" s="1556" customFormat="1" ht="18.75" customHeight="1" x14ac:dyDescent="0.25">
      <c r="A6" s="1678" t="s">
        <v>948</v>
      </c>
      <c r="B6" s="1677" t="s">
        <v>123</v>
      </c>
      <c r="C6" s="1677" t="s">
        <v>466</v>
      </c>
      <c r="D6" s="1677" t="s">
        <v>128</v>
      </c>
      <c r="E6" s="1668" t="s">
        <v>124</v>
      </c>
      <c r="F6" s="1668" t="s">
        <v>125</v>
      </c>
      <c r="G6" s="1669" t="s">
        <v>1026</v>
      </c>
    </row>
    <row r="7" spans="1:7" s="1555" customFormat="1" ht="15.75" customHeight="1" x14ac:dyDescent="0.25">
      <c r="A7" s="1692" t="s">
        <v>20</v>
      </c>
      <c r="B7" s="1693"/>
      <c r="C7" s="1693"/>
      <c r="D7" s="1693"/>
      <c r="E7" s="1694"/>
      <c r="F7" s="1694"/>
      <c r="G7" s="1695">
        <f>G8</f>
        <v>178645584737</v>
      </c>
    </row>
    <row r="8" spans="1:7" s="1555" customFormat="1" ht="15.75" customHeight="1" x14ac:dyDescent="0.25">
      <c r="A8" s="1692"/>
      <c r="B8" s="1693">
        <v>800</v>
      </c>
      <c r="C8" s="1693"/>
      <c r="D8" s="1693"/>
      <c r="E8" s="1694"/>
      <c r="F8" s="1694"/>
      <c r="G8" s="1695">
        <f>G9+G37+G47+G132+G216+G299+G312+G360+G383+G399+G412+G418+G424+G433+G439+G452+G463+G479+G574+G652+G712+G731+G737+G756+G782+G788+G794+G804</f>
        <v>178645584737</v>
      </c>
    </row>
    <row r="9" spans="1:7" s="1555" customFormat="1" ht="15.75" customHeight="1" x14ac:dyDescent="0.2">
      <c r="A9" s="1696"/>
      <c r="B9" s="1697"/>
      <c r="C9" s="1698" t="s">
        <v>1030</v>
      </c>
      <c r="D9" s="1698"/>
      <c r="E9" s="1699"/>
      <c r="F9" s="1699"/>
      <c r="G9" s="1700">
        <f>G10</f>
        <v>1477056682</v>
      </c>
    </row>
    <row r="10" spans="1:7" s="1555" customFormat="1" ht="15.75" customHeight="1" x14ac:dyDescent="0.2">
      <c r="A10" s="1696"/>
      <c r="B10" s="1697"/>
      <c r="C10" s="1701"/>
      <c r="D10" s="1698" t="s">
        <v>1030</v>
      </c>
      <c r="E10" s="1699"/>
      <c r="F10" s="1699"/>
      <c r="G10" s="1700">
        <f>G11</f>
        <v>1477056682</v>
      </c>
    </row>
    <row r="11" spans="1:7" s="1555" customFormat="1" ht="15.75" customHeight="1" x14ac:dyDescent="0.2">
      <c r="A11" s="1696"/>
      <c r="B11" s="1697"/>
      <c r="C11" s="1701"/>
      <c r="D11" s="1701"/>
      <c r="E11" s="1702" t="s">
        <v>1031</v>
      </c>
      <c r="F11" s="1699"/>
      <c r="G11" s="1700">
        <f>G12+G22+G34</f>
        <v>1477056682</v>
      </c>
    </row>
    <row r="12" spans="1:7" s="1555" customFormat="1" ht="15.75" customHeight="1" x14ac:dyDescent="0.2">
      <c r="A12" s="1696"/>
      <c r="B12" s="1697"/>
      <c r="C12" s="1701"/>
      <c r="D12" s="1701"/>
      <c r="E12" s="1702" t="s">
        <v>1032</v>
      </c>
      <c r="F12" s="1699"/>
      <c r="G12" s="1700">
        <f>G13+G16+G19</f>
        <v>1066961476</v>
      </c>
    </row>
    <row r="13" spans="1:7" s="1555" customFormat="1" ht="15.75" customHeight="1" x14ac:dyDescent="0.2">
      <c r="A13" s="1696"/>
      <c r="B13" s="1697"/>
      <c r="C13" s="1701"/>
      <c r="D13" s="1701"/>
      <c r="E13" s="1699">
        <v>6100</v>
      </c>
      <c r="F13" s="1699"/>
      <c r="G13" s="1700">
        <f>SUM(G14:G15)</f>
        <v>197679436</v>
      </c>
    </row>
    <row r="14" spans="1:7" s="1555" customFormat="1" ht="15.75" customHeight="1" x14ac:dyDescent="0.2">
      <c r="A14" s="1696"/>
      <c r="B14" s="1697"/>
      <c r="C14" s="1701"/>
      <c r="D14" s="1701"/>
      <c r="E14" s="1699"/>
      <c r="F14" s="1699">
        <v>6101</v>
      </c>
      <c r="G14" s="1700">
        <v>158534600</v>
      </c>
    </row>
    <row r="15" spans="1:7" s="1555" customFormat="1" ht="15.75" customHeight="1" x14ac:dyDescent="0.2">
      <c r="A15" s="1696"/>
      <c r="B15" s="1697"/>
      <c r="C15" s="1701"/>
      <c r="D15" s="1701"/>
      <c r="E15" s="1699"/>
      <c r="F15" s="1699">
        <v>6115</v>
      </c>
      <c r="G15" s="1700">
        <v>39144836</v>
      </c>
    </row>
    <row r="16" spans="1:7" s="1555" customFormat="1" ht="15.75" customHeight="1" x14ac:dyDescent="0.2">
      <c r="A16" s="1696"/>
      <c r="B16" s="1697"/>
      <c r="C16" s="1701"/>
      <c r="D16" s="1701"/>
      <c r="E16" s="1699">
        <v>6300</v>
      </c>
      <c r="F16" s="1699"/>
      <c r="G16" s="1700">
        <f>SUM(G17:G18)</f>
        <v>13475140</v>
      </c>
    </row>
    <row r="17" spans="1:7" s="1555" customFormat="1" ht="15.75" customHeight="1" x14ac:dyDescent="0.2">
      <c r="A17" s="1696"/>
      <c r="B17" s="1697"/>
      <c r="C17" s="1701"/>
      <c r="D17" s="1701"/>
      <c r="E17" s="1699"/>
      <c r="F17" s="1699">
        <v>6301</v>
      </c>
      <c r="G17" s="1700">
        <v>8559244</v>
      </c>
    </row>
    <row r="18" spans="1:7" s="1555" customFormat="1" ht="15.75" customHeight="1" x14ac:dyDescent="0.2">
      <c r="A18" s="1696"/>
      <c r="B18" s="1697"/>
      <c r="C18" s="1701"/>
      <c r="D18" s="1701"/>
      <c r="E18" s="1699"/>
      <c r="F18" s="1699">
        <v>6302</v>
      </c>
      <c r="G18" s="1700">
        <v>4915896</v>
      </c>
    </row>
    <row r="19" spans="1:7" s="1555" customFormat="1" ht="15.75" customHeight="1" x14ac:dyDescent="0.2">
      <c r="A19" s="1696"/>
      <c r="B19" s="1697"/>
      <c r="C19" s="1701"/>
      <c r="D19" s="1701"/>
      <c r="E19" s="1699">
        <v>6350</v>
      </c>
      <c r="F19" s="1699"/>
      <c r="G19" s="1700">
        <f>SUM(G20:G21)</f>
        <v>855806900</v>
      </c>
    </row>
    <row r="20" spans="1:7" s="1555" customFormat="1" ht="15.75" customHeight="1" x14ac:dyDescent="0.2">
      <c r="A20" s="1696"/>
      <c r="B20" s="1697"/>
      <c r="C20" s="1701"/>
      <c r="D20" s="1701"/>
      <c r="E20" s="1699"/>
      <c r="F20" s="1699">
        <v>6353</v>
      </c>
      <c r="G20" s="1700">
        <v>635675200</v>
      </c>
    </row>
    <row r="21" spans="1:7" s="1555" customFormat="1" ht="15.75" customHeight="1" x14ac:dyDescent="0.2">
      <c r="A21" s="1696"/>
      <c r="B21" s="1697"/>
      <c r="C21" s="1701"/>
      <c r="D21" s="1701"/>
      <c r="E21" s="1699"/>
      <c r="F21" s="1699">
        <v>6399</v>
      </c>
      <c r="G21" s="1700">
        <v>220131700</v>
      </c>
    </row>
    <row r="22" spans="1:7" s="1555" customFormat="1" ht="15.75" customHeight="1" x14ac:dyDescent="0.2">
      <c r="A22" s="1696"/>
      <c r="B22" s="1697"/>
      <c r="C22" s="1701"/>
      <c r="D22" s="1701"/>
      <c r="E22" s="1702" t="s">
        <v>1033</v>
      </c>
      <c r="F22" s="1699"/>
      <c r="G22" s="1700">
        <f>G23+G26+G28+G30+G32</f>
        <v>388900026</v>
      </c>
    </row>
    <row r="23" spans="1:7" s="1555" customFormat="1" ht="15.75" customHeight="1" x14ac:dyDescent="0.2">
      <c r="A23" s="1696"/>
      <c r="B23" s="1697"/>
      <c r="C23" s="1701"/>
      <c r="D23" s="1701"/>
      <c r="E23" s="1699">
        <v>6550</v>
      </c>
      <c r="F23" s="1699"/>
      <c r="G23" s="1700">
        <f>SUM(G24:G25)</f>
        <v>1284426</v>
      </c>
    </row>
    <row r="24" spans="1:7" s="1555" customFormat="1" ht="15.75" customHeight="1" x14ac:dyDescent="0.2">
      <c r="A24" s="1696"/>
      <c r="B24" s="1697"/>
      <c r="C24" s="1701"/>
      <c r="D24" s="1701"/>
      <c r="E24" s="1699"/>
      <c r="F24" s="1699">
        <v>6551</v>
      </c>
      <c r="G24" s="1700">
        <v>935126</v>
      </c>
    </row>
    <row r="25" spans="1:7" s="1555" customFormat="1" ht="15.75" customHeight="1" x14ac:dyDescent="0.2">
      <c r="A25" s="1696"/>
      <c r="B25" s="1697"/>
      <c r="C25" s="1701"/>
      <c r="D25" s="1701"/>
      <c r="E25" s="1699"/>
      <c r="F25" s="1699">
        <v>6599</v>
      </c>
      <c r="G25" s="1700">
        <v>349300</v>
      </c>
    </row>
    <row r="26" spans="1:7" s="1555" customFormat="1" ht="15.75" customHeight="1" x14ac:dyDescent="0.2">
      <c r="A26" s="1696"/>
      <c r="B26" s="1697"/>
      <c r="C26" s="1701"/>
      <c r="D26" s="1701"/>
      <c r="E26" s="1699">
        <v>6600</v>
      </c>
      <c r="F26" s="1699"/>
      <c r="G26" s="1700">
        <f>SUM(G27)</f>
        <v>1050600</v>
      </c>
    </row>
    <row r="27" spans="1:7" s="1555" customFormat="1" ht="15.75" customHeight="1" x14ac:dyDescent="0.2">
      <c r="A27" s="1696"/>
      <c r="B27" s="1697"/>
      <c r="C27" s="1701"/>
      <c r="D27" s="1701"/>
      <c r="E27" s="1699"/>
      <c r="F27" s="1699">
        <v>6608</v>
      </c>
      <c r="G27" s="1700">
        <v>1050600</v>
      </c>
    </row>
    <row r="28" spans="1:7" s="1555" customFormat="1" ht="15.75" customHeight="1" x14ac:dyDescent="0.2">
      <c r="A28" s="1696"/>
      <c r="B28" s="1697"/>
      <c r="C28" s="1701"/>
      <c r="D28" s="1701"/>
      <c r="E28" s="1699">
        <v>6650</v>
      </c>
      <c r="F28" s="1699"/>
      <c r="G28" s="1700">
        <f>SUM(G29)</f>
        <v>10550000</v>
      </c>
    </row>
    <row r="29" spans="1:7" s="1555" customFormat="1" ht="15.75" customHeight="1" x14ac:dyDescent="0.2">
      <c r="A29" s="1696"/>
      <c r="B29" s="1697"/>
      <c r="C29" s="1701"/>
      <c r="D29" s="1701"/>
      <c r="E29" s="1699"/>
      <c r="F29" s="1699">
        <v>6699</v>
      </c>
      <c r="G29" s="1700">
        <v>10550000</v>
      </c>
    </row>
    <row r="30" spans="1:7" s="1555" customFormat="1" ht="15.75" customHeight="1" x14ac:dyDescent="0.2">
      <c r="A30" s="1696"/>
      <c r="B30" s="1697"/>
      <c r="C30" s="1701"/>
      <c r="D30" s="1701"/>
      <c r="E30" s="1699">
        <v>6900</v>
      </c>
      <c r="F30" s="1699"/>
      <c r="G30" s="1700">
        <f>SUM(G31)</f>
        <v>300000</v>
      </c>
    </row>
    <row r="31" spans="1:7" s="1555" customFormat="1" ht="15.75" customHeight="1" x14ac:dyDescent="0.2">
      <c r="A31" s="1696"/>
      <c r="B31" s="1697"/>
      <c r="C31" s="1701"/>
      <c r="D31" s="1701"/>
      <c r="E31" s="1699"/>
      <c r="F31" s="1699">
        <v>6912</v>
      </c>
      <c r="G31" s="1700">
        <v>300000</v>
      </c>
    </row>
    <row r="32" spans="1:7" s="1555" customFormat="1" ht="15.75" customHeight="1" x14ac:dyDescent="0.2">
      <c r="A32" s="1696"/>
      <c r="B32" s="1697"/>
      <c r="C32" s="1701"/>
      <c r="D32" s="1701"/>
      <c r="E32" s="1699">
        <v>7000</v>
      </c>
      <c r="F32" s="1699"/>
      <c r="G32" s="1700">
        <f>SUM(G33)</f>
        <v>375715000</v>
      </c>
    </row>
    <row r="33" spans="1:7" s="1555" customFormat="1" ht="15.75" customHeight="1" x14ac:dyDescent="0.2">
      <c r="A33" s="1696"/>
      <c r="B33" s="1697"/>
      <c r="C33" s="1701"/>
      <c r="D33" s="1701"/>
      <c r="E33" s="1699"/>
      <c r="F33" s="1699">
        <v>7049</v>
      </c>
      <c r="G33" s="1700">
        <v>375715000</v>
      </c>
    </row>
    <row r="34" spans="1:7" s="1555" customFormat="1" ht="15.75" customHeight="1" x14ac:dyDescent="0.2">
      <c r="A34" s="1696"/>
      <c r="B34" s="1697"/>
      <c r="C34" s="1701"/>
      <c r="D34" s="1701"/>
      <c r="E34" s="1702" t="s">
        <v>1034</v>
      </c>
      <c r="F34" s="1699"/>
      <c r="G34" s="1700">
        <f>G35</f>
        <v>21195180</v>
      </c>
    </row>
    <row r="35" spans="1:7" s="1555" customFormat="1" ht="15.75" customHeight="1" x14ac:dyDescent="0.2">
      <c r="A35" s="1696"/>
      <c r="B35" s="1697"/>
      <c r="C35" s="1701"/>
      <c r="D35" s="1701"/>
      <c r="E35" s="1699">
        <v>7750</v>
      </c>
      <c r="F35" s="1699"/>
      <c r="G35" s="1700">
        <f>G36</f>
        <v>21195180</v>
      </c>
    </row>
    <row r="36" spans="1:7" s="1555" customFormat="1" ht="15.75" customHeight="1" x14ac:dyDescent="0.2">
      <c r="A36" s="1696"/>
      <c r="B36" s="1697"/>
      <c r="C36" s="1701"/>
      <c r="D36" s="1701"/>
      <c r="E36" s="1699"/>
      <c r="F36" s="1699">
        <v>7799</v>
      </c>
      <c r="G36" s="1700">
        <v>21195180</v>
      </c>
    </row>
    <row r="37" spans="1:7" s="1555" customFormat="1" ht="15.75" customHeight="1" x14ac:dyDescent="0.2">
      <c r="A37" s="1696"/>
      <c r="B37" s="1697"/>
      <c r="C37" s="1698" t="s">
        <v>1035</v>
      </c>
      <c r="D37" s="1701"/>
      <c r="E37" s="1699"/>
      <c r="F37" s="1699"/>
      <c r="G37" s="1700">
        <f>G38</f>
        <v>641445000</v>
      </c>
    </row>
    <row r="38" spans="1:7" s="1555" customFormat="1" ht="15.75" customHeight="1" x14ac:dyDescent="0.2">
      <c r="A38" s="1696"/>
      <c r="B38" s="1697"/>
      <c r="C38" s="1701"/>
      <c r="D38" s="1698" t="s">
        <v>1035</v>
      </c>
      <c r="E38" s="1703"/>
      <c r="F38" s="1699"/>
      <c r="G38" s="1700">
        <f>G39</f>
        <v>641445000</v>
      </c>
    </row>
    <row r="39" spans="1:7" s="1555" customFormat="1" ht="15.75" customHeight="1" x14ac:dyDescent="0.2">
      <c r="A39" s="1696"/>
      <c r="B39" s="1697"/>
      <c r="C39" s="1701"/>
      <c r="D39" s="1701"/>
      <c r="E39" s="1702" t="s">
        <v>1031</v>
      </c>
      <c r="F39" s="1699"/>
      <c r="G39" s="1700">
        <f>G40+G44</f>
        <v>641445000</v>
      </c>
    </row>
    <row r="40" spans="1:7" s="1555" customFormat="1" ht="15.75" customHeight="1" x14ac:dyDescent="0.2">
      <c r="A40" s="1696"/>
      <c r="B40" s="1697"/>
      <c r="C40" s="1701"/>
      <c r="D40" s="1701"/>
      <c r="E40" s="1702" t="s">
        <v>1033</v>
      </c>
      <c r="F40" s="1699"/>
      <c r="G40" s="1700">
        <f>G41</f>
        <v>69845000</v>
      </c>
    </row>
    <row r="41" spans="1:7" s="1555" customFormat="1" ht="15.75" customHeight="1" x14ac:dyDescent="0.2">
      <c r="A41" s="1696"/>
      <c r="B41" s="1697"/>
      <c r="C41" s="1701"/>
      <c r="D41" s="1701"/>
      <c r="E41" s="1699">
        <v>7000</v>
      </c>
      <c r="F41" s="1699"/>
      <c r="G41" s="1700">
        <f>SUM(G42:G43)</f>
        <v>69845000</v>
      </c>
    </row>
    <row r="42" spans="1:7" s="1555" customFormat="1" ht="15.75" customHeight="1" x14ac:dyDescent="0.2">
      <c r="A42" s="1696"/>
      <c r="B42" s="1697"/>
      <c r="C42" s="1701"/>
      <c r="D42" s="1701"/>
      <c r="E42" s="1699"/>
      <c r="F42" s="1699">
        <v>7001</v>
      </c>
      <c r="G42" s="1700">
        <v>4485000</v>
      </c>
    </row>
    <row r="43" spans="1:7" s="1555" customFormat="1" ht="15.75" customHeight="1" x14ac:dyDescent="0.2">
      <c r="A43" s="1696"/>
      <c r="B43" s="1697"/>
      <c r="C43" s="1701"/>
      <c r="D43" s="1701"/>
      <c r="E43" s="1699"/>
      <c r="F43" s="1699">
        <v>7049</v>
      </c>
      <c r="G43" s="1700">
        <v>65360000</v>
      </c>
    </row>
    <row r="44" spans="1:7" s="1555" customFormat="1" ht="15.75" customHeight="1" x14ac:dyDescent="0.2">
      <c r="A44" s="1696"/>
      <c r="B44" s="1697"/>
      <c r="C44" s="1701"/>
      <c r="D44" s="1701"/>
      <c r="E44" s="1702" t="s">
        <v>1034</v>
      </c>
      <c r="F44" s="1699"/>
      <c r="G44" s="1700">
        <f>G45</f>
        <v>571600000</v>
      </c>
    </row>
    <row r="45" spans="1:7" s="1555" customFormat="1" ht="15.75" customHeight="1" x14ac:dyDescent="0.2">
      <c r="A45" s="1696"/>
      <c r="B45" s="1697"/>
      <c r="C45" s="1701"/>
      <c r="D45" s="1701"/>
      <c r="E45" s="1699">
        <v>7750</v>
      </c>
      <c r="F45" s="1699"/>
      <c r="G45" s="1700">
        <f>G46</f>
        <v>571600000</v>
      </c>
    </row>
    <row r="46" spans="1:7" s="1555" customFormat="1" ht="15.75" customHeight="1" x14ac:dyDescent="0.2">
      <c r="A46" s="1696"/>
      <c r="B46" s="1697"/>
      <c r="C46" s="1701"/>
      <c r="D46" s="1701"/>
      <c r="E46" s="1699"/>
      <c r="F46" s="1699">
        <v>7799</v>
      </c>
      <c r="G46" s="1700">
        <v>571600000</v>
      </c>
    </row>
    <row r="47" spans="1:7" s="1555" customFormat="1" ht="15.75" customHeight="1" x14ac:dyDescent="0.2">
      <c r="A47" s="1696"/>
      <c r="B47" s="1697"/>
      <c r="C47" s="1698" t="s">
        <v>1036</v>
      </c>
      <c r="D47" s="1701"/>
      <c r="E47" s="1699"/>
      <c r="F47" s="1699"/>
      <c r="G47" s="1700">
        <f>G48</f>
        <v>28161981440</v>
      </c>
    </row>
    <row r="48" spans="1:7" s="1555" customFormat="1" ht="15.75" customHeight="1" x14ac:dyDescent="0.2">
      <c r="A48" s="1696"/>
      <c r="B48" s="1697"/>
      <c r="C48" s="1701"/>
      <c r="D48" s="1698" t="s">
        <v>1036</v>
      </c>
      <c r="E48" s="1699"/>
      <c r="F48" s="1699"/>
      <c r="G48" s="1700">
        <f>G49+G122</f>
        <v>28161981440</v>
      </c>
    </row>
    <row r="49" spans="1:7" s="1555" customFormat="1" ht="15.75" customHeight="1" x14ac:dyDescent="0.2">
      <c r="A49" s="1696"/>
      <c r="B49" s="1697"/>
      <c r="C49" s="1701"/>
      <c r="D49" s="1701"/>
      <c r="E49" s="1702" t="s">
        <v>1031</v>
      </c>
      <c r="F49" s="1699"/>
      <c r="G49" s="1700">
        <f>G50+G79+G116</f>
        <v>22331912963</v>
      </c>
    </row>
    <row r="50" spans="1:7" s="1555" customFormat="1" ht="15.75" customHeight="1" x14ac:dyDescent="0.2">
      <c r="A50" s="1696"/>
      <c r="B50" s="1697"/>
      <c r="C50" s="1701"/>
      <c r="D50" s="1701"/>
      <c r="E50" s="1702" t="s">
        <v>1032</v>
      </c>
      <c r="F50" s="1699"/>
      <c r="G50" s="1700">
        <f>G51+G53+G55+G62+G66+G69+G71+G76</f>
        <v>19451690954</v>
      </c>
    </row>
    <row r="51" spans="1:7" s="1555" customFormat="1" ht="15.75" customHeight="1" x14ac:dyDescent="0.2">
      <c r="A51" s="1696"/>
      <c r="B51" s="1697"/>
      <c r="C51" s="1701"/>
      <c r="D51" s="1701"/>
      <c r="E51" s="1699">
        <v>6000</v>
      </c>
      <c r="F51" s="1699"/>
      <c r="G51" s="1700">
        <f>G52</f>
        <v>8813649839</v>
      </c>
    </row>
    <row r="52" spans="1:7" s="1555" customFormat="1" ht="15.75" customHeight="1" x14ac:dyDescent="0.2">
      <c r="A52" s="1696"/>
      <c r="B52" s="1697"/>
      <c r="C52" s="1701"/>
      <c r="D52" s="1701"/>
      <c r="E52" s="1699"/>
      <c r="F52" s="1699">
        <v>6001</v>
      </c>
      <c r="G52" s="1700">
        <v>8813649839</v>
      </c>
    </row>
    <row r="53" spans="1:7" s="1555" customFormat="1" ht="15.75" customHeight="1" x14ac:dyDescent="0.2">
      <c r="A53" s="1696"/>
      <c r="B53" s="1697"/>
      <c r="C53" s="1701"/>
      <c r="D53" s="1701"/>
      <c r="E53" s="1699">
        <v>6050</v>
      </c>
      <c r="F53" s="1699"/>
      <c r="G53" s="1700">
        <f>G54</f>
        <v>106200000</v>
      </c>
    </row>
    <row r="54" spans="1:7" s="1555" customFormat="1" ht="15.75" customHeight="1" x14ac:dyDescent="0.2">
      <c r="A54" s="1696"/>
      <c r="B54" s="1697"/>
      <c r="C54" s="1701"/>
      <c r="D54" s="1701"/>
      <c r="E54" s="1699"/>
      <c r="F54" s="1699">
        <v>6051</v>
      </c>
      <c r="G54" s="1700">
        <v>106200000</v>
      </c>
    </row>
    <row r="55" spans="1:7" s="1555" customFormat="1" ht="15.75" customHeight="1" x14ac:dyDescent="0.2">
      <c r="A55" s="1696"/>
      <c r="B55" s="1697"/>
      <c r="C55" s="1701"/>
      <c r="D55" s="1701"/>
      <c r="E55" s="1699">
        <v>6100</v>
      </c>
      <c r="F55" s="1699"/>
      <c r="G55" s="1700">
        <f>SUM(G56:G61)</f>
        <v>6806143133</v>
      </c>
    </row>
    <row r="56" spans="1:7" s="1555" customFormat="1" ht="15.75" customHeight="1" x14ac:dyDescent="0.2">
      <c r="A56" s="1696"/>
      <c r="B56" s="1697"/>
      <c r="C56" s="1701"/>
      <c r="D56" s="1701"/>
      <c r="E56" s="1699"/>
      <c r="F56" s="1699">
        <v>6101</v>
      </c>
      <c r="G56" s="1700">
        <v>156312000</v>
      </c>
    </row>
    <row r="57" spans="1:7" s="1555" customFormat="1" ht="15.75" customHeight="1" x14ac:dyDescent="0.2">
      <c r="A57" s="1696"/>
      <c r="B57" s="1697"/>
      <c r="C57" s="1701"/>
      <c r="D57" s="1701"/>
      <c r="E57" s="1699"/>
      <c r="F57" s="1699">
        <v>6102</v>
      </c>
      <c r="G57" s="1700">
        <v>754725610</v>
      </c>
    </row>
    <row r="58" spans="1:7" s="1555" customFormat="1" ht="15.75" customHeight="1" x14ac:dyDescent="0.2">
      <c r="A58" s="1696"/>
      <c r="B58" s="1697"/>
      <c r="C58" s="1701"/>
      <c r="D58" s="1701"/>
      <c r="E58" s="1699"/>
      <c r="F58" s="1699">
        <v>6105</v>
      </c>
      <c r="G58" s="1700">
        <v>153750931</v>
      </c>
    </row>
    <row r="59" spans="1:7" s="1555" customFormat="1" ht="15.75" customHeight="1" x14ac:dyDescent="0.2">
      <c r="A59" s="1696"/>
      <c r="B59" s="1697"/>
      <c r="C59" s="1701"/>
      <c r="D59" s="1701"/>
      <c r="E59" s="1699"/>
      <c r="F59" s="1699">
        <v>6112</v>
      </c>
      <c r="G59" s="1700">
        <v>4422917156</v>
      </c>
    </row>
    <row r="60" spans="1:7" s="1555" customFormat="1" ht="15.75" customHeight="1" x14ac:dyDescent="0.2">
      <c r="A60" s="1696"/>
      <c r="B60" s="1697"/>
      <c r="C60" s="1701"/>
      <c r="D60" s="1701"/>
      <c r="E60" s="1699"/>
      <c r="F60" s="1699">
        <v>6113</v>
      </c>
      <c r="G60" s="1700">
        <v>2808000</v>
      </c>
    </row>
    <row r="61" spans="1:7" s="1555" customFormat="1" ht="15.75" customHeight="1" x14ac:dyDescent="0.2">
      <c r="A61" s="1696"/>
      <c r="B61" s="1697"/>
      <c r="C61" s="1701"/>
      <c r="D61" s="1701"/>
      <c r="E61" s="1699"/>
      <c r="F61" s="1699">
        <v>6115</v>
      </c>
      <c r="G61" s="1700">
        <v>1315629436</v>
      </c>
    </row>
    <row r="62" spans="1:7" s="1555" customFormat="1" ht="15.75" customHeight="1" x14ac:dyDescent="0.2">
      <c r="A62" s="1696"/>
      <c r="B62" s="1697"/>
      <c r="C62" s="1701"/>
      <c r="D62" s="1701"/>
      <c r="E62" s="1699">
        <v>6150</v>
      </c>
      <c r="F62" s="1703"/>
      <c r="G62" s="1700">
        <f>SUM(G63:G65)</f>
        <v>71358000</v>
      </c>
    </row>
    <row r="63" spans="1:7" s="1555" customFormat="1" ht="15.75" customHeight="1" x14ac:dyDescent="0.2">
      <c r="A63" s="1696"/>
      <c r="B63" s="1697"/>
      <c r="C63" s="1701"/>
      <c r="D63" s="1701"/>
      <c r="E63" s="1699"/>
      <c r="F63" s="1699">
        <v>6151</v>
      </c>
      <c r="G63" s="1700">
        <v>16848000</v>
      </c>
    </row>
    <row r="64" spans="1:7" s="1555" customFormat="1" ht="15.75" customHeight="1" x14ac:dyDescent="0.2">
      <c r="A64" s="1696"/>
      <c r="B64" s="1697"/>
      <c r="C64" s="1701"/>
      <c r="D64" s="1701"/>
      <c r="E64" s="1699"/>
      <c r="F64" s="1699">
        <v>6157</v>
      </c>
      <c r="G64" s="1700">
        <v>33450000</v>
      </c>
    </row>
    <row r="65" spans="1:7" s="1555" customFormat="1" ht="15.75" customHeight="1" x14ac:dyDescent="0.2">
      <c r="A65" s="1696"/>
      <c r="B65" s="1697"/>
      <c r="C65" s="1701"/>
      <c r="D65" s="1701"/>
      <c r="E65" s="1703"/>
      <c r="F65" s="1699">
        <v>6199</v>
      </c>
      <c r="G65" s="1700">
        <v>21060000</v>
      </c>
    </row>
    <row r="66" spans="1:7" s="1555" customFormat="1" ht="15.75" customHeight="1" x14ac:dyDescent="0.2">
      <c r="A66" s="1696"/>
      <c r="B66" s="1697"/>
      <c r="C66" s="1701"/>
      <c r="D66" s="1701"/>
      <c r="E66" s="1699">
        <v>6200</v>
      </c>
      <c r="F66" s="1703"/>
      <c r="G66" s="1700">
        <f>SUM(G67:G68)</f>
        <v>861709992</v>
      </c>
    </row>
    <row r="67" spans="1:7" s="1555" customFormat="1" ht="15.75" customHeight="1" x14ac:dyDescent="0.2">
      <c r="A67" s="1696"/>
      <c r="B67" s="1697"/>
      <c r="C67" s="1701"/>
      <c r="D67" s="1701"/>
      <c r="E67" s="1699"/>
      <c r="F67" s="1699">
        <v>6201</v>
      </c>
      <c r="G67" s="1700">
        <v>859109992</v>
      </c>
    </row>
    <row r="68" spans="1:7" s="1555" customFormat="1" ht="15.75" customHeight="1" x14ac:dyDescent="0.2">
      <c r="A68" s="1696"/>
      <c r="B68" s="1697"/>
      <c r="C68" s="1701"/>
      <c r="D68" s="1701"/>
      <c r="E68" s="1703"/>
      <c r="F68" s="1699">
        <v>6249</v>
      </c>
      <c r="G68" s="1704">
        <v>2600000</v>
      </c>
    </row>
    <row r="69" spans="1:7" s="1555" customFormat="1" ht="15.75" customHeight="1" x14ac:dyDescent="0.2">
      <c r="A69" s="1696"/>
      <c r="B69" s="1697"/>
      <c r="C69" s="1701"/>
      <c r="D69" s="1701"/>
      <c r="E69" s="1699">
        <v>6250</v>
      </c>
      <c r="F69" s="1699"/>
      <c r="G69" s="1700">
        <f>G70</f>
        <v>146975200</v>
      </c>
    </row>
    <row r="70" spans="1:7" s="1555" customFormat="1" ht="15.75" customHeight="1" x14ac:dyDescent="0.2">
      <c r="A70" s="1696"/>
      <c r="B70" s="1697"/>
      <c r="C70" s="1701"/>
      <c r="D70" s="1701"/>
      <c r="E70" s="1699"/>
      <c r="F70" s="1699">
        <v>6299</v>
      </c>
      <c r="G70" s="1700">
        <v>146975200</v>
      </c>
    </row>
    <row r="71" spans="1:7" s="1555" customFormat="1" ht="15.75" customHeight="1" x14ac:dyDescent="0.2">
      <c r="A71" s="1696"/>
      <c r="B71" s="1697"/>
      <c r="C71" s="1701"/>
      <c r="D71" s="1701"/>
      <c r="E71" s="1699">
        <v>6300</v>
      </c>
      <c r="F71" s="1699"/>
      <c r="G71" s="1700">
        <f>SUM(G72:G75)</f>
        <v>2282071589</v>
      </c>
    </row>
    <row r="72" spans="1:7" s="1555" customFormat="1" ht="15.75" customHeight="1" x14ac:dyDescent="0.2">
      <c r="A72" s="1696"/>
      <c r="B72" s="1697"/>
      <c r="C72" s="1701"/>
      <c r="D72" s="1701"/>
      <c r="E72" s="1699"/>
      <c r="F72" s="1699">
        <v>6301</v>
      </c>
      <c r="G72" s="1700">
        <v>1777901787</v>
      </c>
    </row>
    <row r="73" spans="1:7" s="1555" customFormat="1" ht="15.75" customHeight="1" x14ac:dyDescent="0.2">
      <c r="A73" s="1696"/>
      <c r="B73" s="1697"/>
      <c r="C73" s="1701"/>
      <c r="D73" s="1701"/>
      <c r="E73" s="1699"/>
      <c r="F73" s="1699">
        <v>6302</v>
      </c>
      <c r="G73" s="1700">
        <v>310306060</v>
      </c>
    </row>
    <row r="74" spans="1:7" s="1555" customFormat="1" ht="15.75" customHeight="1" x14ac:dyDescent="0.2">
      <c r="A74" s="1696"/>
      <c r="B74" s="1697"/>
      <c r="C74" s="1701"/>
      <c r="D74" s="1701"/>
      <c r="E74" s="1699"/>
      <c r="F74" s="1699">
        <v>6303</v>
      </c>
      <c r="G74" s="1700">
        <v>80931375</v>
      </c>
    </row>
    <row r="75" spans="1:7" s="1555" customFormat="1" ht="15.75" customHeight="1" x14ac:dyDescent="0.2">
      <c r="A75" s="1696"/>
      <c r="B75" s="1697"/>
      <c r="C75" s="1701"/>
      <c r="D75" s="1701"/>
      <c r="E75" s="1699"/>
      <c r="F75" s="1699">
        <v>6304</v>
      </c>
      <c r="G75" s="1700">
        <v>112932367</v>
      </c>
    </row>
    <row r="76" spans="1:7" s="1555" customFormat="1" ht="15.75" customHeight="1" x14ac:dyDescent="0.2">
      <c r="A76" s="1696"/>
      <c r="B76" s="1697"/>
      <c r="C76" s="1701"/>
      <c r="D76" s="1701"/>
      <c r="E76" s="1699">
        <v>6400</v>
      </c>
      <c r="F76" s="1699"/>
      <c r="G76" s="1700">
        <f>SUM(G77:G78)</f>
        <v>363583201</v>
      </c>
    </row>
    <row r="77" spans="1:7" s="1555" customFormat="1" ht="15.75" customHeight="1" x14ac:dyDescent="0.2">
      <c r="A77" s="1696"/>
      <c r="B77" s="1697"/>
      <c r="C77" s="1701"/>
      <c r="D77" s="1701"/>
      <c r="E77" s="1699"/>
      <c r="F77" s="1699">
        <v>6401</v>
      </c>
      <c r="G77" s="1700">
        <v>168480000</v>
      </c>
    </row>
    <row r="78" spans="1:7" s="1555" customFormat="1" ht="15.75" customHeight="1" x14ac:dyDescent="0.2">
      <c r="A78" s="1696"/>
      <c r="B78" s="1697"/>
      <c r="C78" s="1701"/>
      <c r="D78" s="1701"/>
      <c r="E78" s="1699"/>
      <c r="F78" s="1699">
        <v>6404</v>
      </c>
      <c r="G78" s="1700">
        <v>195103201</v>
      </c>
    </row>
    <row r="79" spans="1:7" s="1555" customFormat="1" ht="15.75" customHeight="1" x14ac:dyDescent="0.2">
      <c r="A79" s="1696"/>
      <c r="B79" s="1697"/>
      <c r="C79" s="1701"/>
      <c r="D79" s="1701"/>
      <c r="E79" s="1702" t="s">
        <v>1033</v>
      </c>
      <c r="F79" s="1699"/>
      <c r="G79" s="1700">
        <f>G80+G85+G90+G95+G99+G104+G107+G113</f>
        <v>1601334629</v>
      </c>
    </row>
    <row r="80" spans="1:7" s="1555" customFormat="1" ht="15.75" customHeight="1" x14ac:dyDescent="0.2">
      <c r="A80" s="1696"/>
      <c r="B80" s="1697"/>
      <c r="C80" s="1701"/>
      <c r="D80" s="1701"/>
      <c r="E80" s="1699">
        <v>6500</v>
      </c>
      <c r="F80" s="1699"/>
      <c r="G80" s="1700">
        <f>SUM(G81:G84)</f>
        <v>169706383</v>
      </c>
    </row>
    <row r="81" spans="1:7" s="1555" customFormat="1" ht="15.75" customHeight="1" x14ac:dyDescent="0.2">
      <c r="A81" s="1696"/>
      <c r="B81" s="1697"/>
      <c r="C81" s="1701"/>
      <c r="D81" s="1701"/>
      <c r="E81" s="1699"/>
      <c r="F81" s="1699">
        <v>6501</v>
      </c>
      <c r="G81" s="1700">
        <v>108463058</v>
      </c>
    </row>
    <row r="82" spans="1:7" s="1555" customFormat="1" ht="15.75" customHeight="1" x14ac:dyDescent="0.2">
      <c r="A82" s="1696"/>
      <c r="B82" s="1697"/>
      <c r="C82" s="1701"/>
      <c r="D82" s="1701"/>
      <c r="E82" s="1699"/>
      <c r="F82" s="1699">
        <v>6502</v>
      </c>
      <c r="G82" s="1700">
        <v>49593325</v>
      </c>
    </row>
    <row r="83" spans="1:7" s="1555" customFormat="1" ht="15.75" customHeight="1" x14ac:dyDescent="0.2">
      <c r="A83" s="1696"/>
      <c r="B83" s="1697"/>
      <c r="C83" s="1701"/>
      <c r="D83" s="1701"/>
      <c r="E83" s="1699"/>
      <c r="F83" s="1699">
        <v>6504</v>
      </c>
      <c r="G83" s="1700">
        <v>6600000</v>
      </c>
    </row>
    <row r="84" spans="1:7" s="1555" customFormat="1" ht="15.75" customHeight="1" x14ac:dyDescent="0.2">
      <c r="A84" s="1696"/>
      <c r="B84" s="1697"/>
      <c r="C84" s="1701"/>
      <c r="D84" s="1701"/>
      <c r="E84" s="1699"/>
      <c r="F84" s="1699">
        <v>6505</v>
      </c>
      <c r="G84" s="1700">
        <v>5050000</v>
      </c>
    </row>
    <row r="85" spans="1:7" s="1555" customFormat="1" ht="15.75" customHeight="1" x14ac:dyDescent="0.2">
      <c r="A85" s="1696"/>
      <c r="B85" s="1697"/>
      <c r="C85" s="1701"/>
      <c r="D85" s="1701"/>
      <c r="E85" s="1699">
        <v>6550</v>
      </c>
      <c r="F85" s="1699"/>
      <c r="G85" s="1700">
        <f>SUM(G86:G89)</f>
        <v>244718756</v>
      </c>
    </row>
    <row r="86" spans="1:7" s="1555" customFormat="1" ht="15.75" customHeight="1" x14ac:dyDescent="0.2">
      <c r="A86" s="1696"/>
      <c r="B86" s="1697"/>
      <c r="C86" s="1701"/>
      <c r="D86" s="1701"/>
      <c r="E86" s="1699"/>
      <c r="F86" s="1699">
        <v>6551</v>
      </c>
      <c r="G86" s="1700">
        <v>56993132</v>
      </c>
    </row>
    <row r="87" spans="1:7" s="1555" customFormat="1" ht="15.75" customHeight="1" x14ac:dyDescent="0.2">
      <c r="A87" s="1696"/>
      <c r="B87" s="1697"/>
      <c r="C87" s="1701"/>
      <c r="D87" s="1701"/>
      <c r="E87" s="1699"/>
      <c r="F87" s="1699">
        <v>6552</v>
      </c>
      <c r="G87" s="1700">
        <v>109715700</v>
      </c>
    </row>
    <row r="88" spans="1:7" s="1555" customFormat="1" ht="15.75" customHeight="1" x14ac:dyDescent="0.2">
      <c r="A88" s="1696"/>
      <c r="B88" s="1697"/>
      <c r="C88" s="1701"/>
      <c r="D88" s="1701"/>
      <c r="E88" s="1699"/>
      <c r="F88" s="1699">
        <v>6553</v>
      </c>
      <c r="G88" s="1700">
        <v>25300000</v>
      </c>
    </row>
    <row r="89" spans="1:7" s="1555" customFormat="1" ht="15.75" customHeight="1" x14ac:dyDescent="0.2">
      <c r="A89" s="1696"/>
      <c r="B89" s="1697"/>
      <c r="C89" s="1701"/>
      <c r="D89" s="1701"/>
      <c r="E89" s="1699"/>
      <c r="F89" s="1699">
        <v>6599</v>
      </c>
      <c r="G89" s="1700">
        <v>52709924</v>
      </c>
    </row>
    <row r="90" spans="1:7" s="1555" customFormat="1" ht="15.75" customHeight="1" x14ac:dyDescent="0.2">
      <c r="A90" s="1696"/>
      <c r="B90" s="1697"/>
      <c r="C90" s="1701"/>
      <c r="D90" s="1701"/>
      <c r="E90" s="1699">
        <v>6600</v>
      </c>
      <c r="F90" s="1699"/>
      <c r="G90" s="1700">
        <f>SUM(G91:G94)</f>
        <v>35046116</v>
      </c>
    </row>
    <row r="91" spans="1:7" s="1555" customFormat="1" ht="15.75" customHeight="1" x14ac:dyDescent="0.2">
      <c r="A91" s="1696"/>
      <c r="B91" s="1697"/>
      <c r="C91" s="1701"/>
      <c r="D91" s="1701"/>
      <c r="E91" s="1699"/>
      <c r="F91" s="1699">
        <v>6601</v>
      </c>
      <c r="G91" s="1700">
        <v>5947629</v>
      </c>
    </row>
    <row r="92" spans="1:7" s="1555" customFormat="1" ht="15.75" customHeight="1" x14ac:dyDescent="0.2">
      <c r="A92" s="1696"/>
      <c r="B92" s="1697"/>
      <c r="C92" s="1701"/>
      <c r="D92" s="1701"/>
      <c r="E92" s="1699"/>
      <c r="F92" s="1699">
        <v>6605</v>
      </c>
      <c r="G92" s="1700">
        <v>18088427</v>
      </c>
    </row>
    <row r="93" spans="1:7" s="1555" customFormat="1" ht="15.75" customHeight="1" x14ac:dyDescent="0.2">
      <c r="A93" s="1696"/>
      <c r="B93" s="1697"/>
      <c r="C93" s="1701"/>
      <c r="D93" s="1701"/>
      <c r="E93" s="1699"/>
      <c r="F93" s="1699">
        <v>6608</v>
      </c>
      <c r="G93" s="1700">
        <v>781300</v>
      </c>
    </row>
    <row r="94" spans="1:7" s="1555" customFormat="1" ht="15.75" customHeight="1" x14ac:dyDescent="0.2">
      <c r="A94" s="1696"/>
      <c r="B94" s="1697"/>
      <c r="C94" s="1701"/>
      <c r="D94" s="1701"/>
      <c r="E94" s="1699"/>
      <c r="F94" s="1699">
        <v>6649</v>
      </c>
      <c r="G94" s="1700">
        <v>10228760</v>
      </c>
    </row>
    <row r="95" spans="1:7" s="1555" customFormat="1" ht="15.75" customHeight="1" x14ac:dyDescent="0.2">
      <c r="A95" s="1696"/>
      <c r="B95" s="1697"/>
      <c r="C95" s="1701"/>
      <c r="D95" s="1701"/>
      <c r="E95" s="1699">
        <v>6650</v>
      </c>
      <c r="F95" s="1699"/>
      <c r="G95" s="1700">
        <f>SUM(G96:G98)</f>
        <v>13645188</v>
      </c>
    </row>
    <row r="96" spans="1:7" s="1555" customFormat="1" ht="15.75" customHeight="1" x14ac:dyDescent="0.2">
      <c r="A96" s="1696"/>
      <c r="B96" s="1697"/>
      <c r="C96" s="1701"/>
      <c r="D96" s="1701"/>
      <c r="E96" s="1699"/>
      <c r="F96" s="1699">
        <v>6651</v>
      </c>
      <c r="G96" s="1700">
        <v>869750</v>
      </c>
    </row>
    <row r="97" spans="1:7" s="1555" customFormat="1" ht="15.75" customHeight="1" x14ac:dyDescent="0.2">
      <c r="A97" s="1696"/>
      <c r="B97" s="1697"/>
      <c r="C97" s="1701"/>
      <c r="D97" s="1701"/>
      <c r="E97" s="1699"/>
      <c r="F97" s="1699">
        <v>6652</v>
      </c>
      <c r="G97" s="1700">
        <v>2280000</v>
      </c>
    </row>
    <row r="98" spans="1:7" s="1555" customFormat="1" ht="15.75" customHeight="1" x14ac:dyDescent="0.2">
      <c r="A98" s="1696"/>
      <c r="B98" s="1697"/>
      <c r="C98" s="1701"/>
      <c r="D98" s="1701"/>
      <c r="E98" s="1699"/>
      <c r="F98" s="1699">
        <v>6699</v>
      </c>
      <c r="G98" s="1700">
        <v>10495438</v>
      </c>
    </row>
    <row r="99" spans="1:7" s="1555" customFormat="1" ht="15.75" customHeight="1" x14ac:dyDescent="0.2">
      <c r="A99" s="1696"/>
      <c r="B99" s="1697"/>
      <c r="C99" s="1701"/>
      <c r="D99" s="1701"/>
      <c r="E99" s="1699">
        <v>6700</v>
      </c>
      <c r="F99" s="1699"/>
      <c r="G99" s="1700">
        <f>SUM(G100:G103)</f>
        <v>67842000</v>
      </c>
    </row>
    <row r="100" spans="1:7" s="1555" customFormat="1" ht="15.75" customHeight="1" x14ac:dyDescent="0.2">
      <c r="A100" s="1696"/>
      <c r="B100" s="1697"/>
      <c r="C100" s="1701"/>
      <c r="D100" s="1701"/>
      <c r="E100" s="1699"/>
      <c r="F100" s="1699">
        <v>6701</v>
      </c>
      <c r="G100" s="1700">
        <v>15092000</v>
      </c>
    </row>
    <row r="101" spans="1:7" s="1555" customFormat="1" ht="15.75" customHeight="1" x14ac:dyDescent="0.2">
      <c r="A101" s="1696"/>
      <c r="B101" s="1697"/>
      <c r="C101" s="1701"/>
      <c r="D101" s="1701"/>
      <c r="E101" s="1699"/>
      <c r="F101" s="1699">
        <v>6702</v>
      </c>
      <c r="G101" s="1700">
        <v>12250000</v>
      </c>
    </row>
    <row r="102" spans="1:7" s="1555" customFormat="1" ht="15.75" customHeight="1" x14ac:dyDescent="0.2">
      <c r="A102" s="1696"/>
      <c r="B102" s="1697"/>
      <c r="C102" s="1701"/>
      <c r="D102" s="1701"/>
      <c r="E102" s="1699"/>
      <c r="F102" s="1699">
        <v>6703</v>
      </c>
      <c r="G102" s="1700">
        <v>11100000</v>
      </c>
    </row>
    <row r="103" spans="1:7" s="1555" customFormat="1" ht="15.75" customHeight="1" x14ac:dyDescent="0.2">
      <c r="A103" s="1696"/>
      <c r="B103" s="1697"/>
      <c r="C103" s="1701"/>
      <c r="D103" s="1701"/>
      <c r="E103" s="1699"/>
      <c r="F103" s="1699">
        <v>6704</v>
      </c>
      <c r="G103" s="1700">
        <v>29400000</v>
      </c>
    </row>
    <row r="104" spans="1:7" s="1555" customFormat="1" ht="15.75" customHeight="1" x14ac:dyDescent="0.2">
      <c r="A104" s="1696"/>
      <c r="B104" s="1697"/>
      <c r="C104" s="1701"/>
      <c r="D104" s="1701"/>
      <c r="E104" s="1699">
        <v>6750</v>
      </c>
      <c r="F104" s="1699"/>
      <c r="G104" s="1700">
        <f>SUM(G105:G106)</f>
        <v>497454000</v>
      </c>
    </row>
    <row r="105" spans="1:7" s="1555" customFormat="1" ht="15.75" customHeight="1" x14ac:dyDescent="0.2">
      <c r="A105" s="1696"/>
      <c r="B105" s="1697"/>
      <c r="C105" s="1701"/>
      <c r="D105" s="1701"/>
      <c r="E105" s="1699"/>
      <c r="F105" s="1699">
        <v>6757</v>
      </c>
      <c r="G105" s="1700">
        <v>409065000</v>
      </c>
    </row>
    <row r="106" spans="1:7" s="1555" customFormat="1" ht="15.75" customHeight="1" x14ac:dyDescent="0.2">
      <c r="A106" s="1696"/>
      <c r="B106" s="1697"/>
      <c r="C106" s="1701"/>
      <c r="D106" s="1701"/>
      <c r="E106" s="1699"/>
      <c r="F106" s="1699">
        <v>6799</v>
      </c>
      <c r="G106" s="1700">
        <v>88389000</v>
      </c>
    </row>
    <row r="107" spans="1:7" s="1555" customFormat="1" ht="15.75" customHeight="1" x14ac:dyDescent="0.2">
      <c r="A107" s="1696"/>
      <c r="B107" s="1697"/>
      <c r="C107" s="1701"/>
      <c r="D107" s="1701"/>
      <c r="E107" s="1699">
        <v>6900</v>
      </c>
      <c r="F107" s="1699"/>
      <c r="G107" s="1700">
        <f>SUM(G108:G112)</f>
        <v>265643544</v>
      </c>
    </row>
    <row r="108" spans="1:7" s="1555" customFormat="1" ht="15.75" customHeight="1" x14ac:dyDescent="0.2">
      <c r="A108" s="1696"/>
      <c r="B108" s="1697"/>
      <c r="C108" s="1701"/>
      <c r="D108" s="1701"/>
      <c r="E108" s="1699"/>
      <c r="F108" s="1699">
        <v>6907</v>
      </c>
      <c r="G108" s="1700">
        <v>26250000</v>
      </c>
    </row>
    <row r="109" spans="1:7" s="1555" customFormat="1" ht="15.75" customHeight="1" x14ac:dyDescent="0.2">
      <c r="A109" s="1696"/>
      <c r="B109" s="1697"/>
      <c r="C109" s="1701"/>
      <c r="D109" s="1701"/>
      <c r="E109" s="1699"/>
      <c r="F109" s="1699">
        <v>6912</v>
      </c>
      <c r="G109" s="1700">
        <v>112583544</v>
      </c>
    </row>
    <row r="110" spans="1:7" s="1555" customFormat="1" ht="15.75" customHeight="1" x14ac:dyDescent="0.2">
      <c r="A110" s="1696"/>
      <c r="B110" s="1697"/>
      <c r="C110" s="1701"/>
      <c r="D110" s="1701"/>
      <c r="E110" s="1699"/>
      <c r="F110" s="1699">
        <v>6913</v>
      </c>
      <c r="G110" s="1700">
        <v>2200000</v>
      </c>
    </row>
    <row r="111" spans="1:7" s="1555" customFormat="1" ht="15.75" customHeight="1" x14ac:dyDescent="0.2">
      <c r="A111" s="1696"/>
      <c r="B111" s="1697"/>
      <c r="C111" s="1701"/>
      <c r="D111" s="1701"/>
      <c r="E111" s="1699"/>
      <c r="F111" s="1699">
        <v>6921</v>
      </c>
      <c r="G111" s="1700">
        <v>90395000</v>
      </c>
    </row>
    <row r="112" spans="1:7" s="1555" customFormat="1" ht="15.75" customHeight="1" x14ac:dyDescent="0.2">
      <c r="A112" s="1696"/>
      <c r="B112" s="1697"/>
      <c r="C112" s="1701"/>
      <c r="D112" s="1701"/>
      <c r="E112" s="1699"/>
      <c r="F112" s="1699">
        <v>6949</v>
      </c>
      <c r="G112" s="1700">
        <v>34215000</v>
      </c>
    </row>
    <row r="113" spans="1:7" s="1555" customFormat="1" ht="15.75" customHeight="1" x14ac:dyDescent="0.2">
      <c r="A113" s="1696"/>
      <c r="B113" s="1697"/>
      <c r="C113" s="1701"/>
      <c r="D113" s="1701"/>
      <c r="E113" s="1699">
        <v>7000</v>
      </c>
      <c r="F113" s="1699"/>
      <c r="G113" s="1700">
        <f>SUM(G114:G115)</f>
        <v>307278642</v>
      </c>
    </row>
    <row r="114" spans="1:7" s="1555" customFormat="1" ht="15.75" customHeight="1" x14ac:dyDescent="0.2">
      <c r="A114" s="1696"/>
      <c r="B114" s="1697"/>
      <c r="C114" s="1701"/>
      <c r="D114" s="1701"/>
      <c r="E114" s="1699"/>
      <c r="F114" s="1699">
        <v>7001</v>
      </c>
      <c r="G114" s="1700">
        <v>95577320</v>
      </c>
    </row>
    <row r="115" spans="1:7" s="1555" customFormat="1" ht="15.75" customHeight="1" x14ac:dyDescent="0.2">
      <c r="A115" s="1696"/>
      <c r="B115" s="1697"/>
      <c r="C115" s="1701"/>
      <c r="D115" s="1701"/>
      <c r="E115" s="1699"/>
      <c r="F115" s="1699">
        <v>7049</v>
      </c>
      <c r="G115" s="1700">
        <v>211701322</v>
      </c>
    </row>
    <row r="116" spans="1:7" s="1555" customFormat="1" ht="15.75" customHeight="1" x14ac:dyDescent="0.2">
      <c r="A116" s="1696"/>
      <c r="B116" s="1697"/>
      <c r="C116" s="1701"/>
      <c r="D116" s="1701"/>
      <c r="E116" s="1702" t="s">
        <v>1034</v>
      </c>
      <c r="F116" s="1699"/>
      <c r="G116" s="1700">
        <f>G117</f>
        <v>1278887380</v>
      </c>
    </row>
    <row r="117" spans="1:7" s="1555" customFormat="1" ht="15.75" customHeight="1" x14ac:dyDescent="0.2">
      <c r="A117" s="1696"/>
      <c r="B117" s="1697"/>
      <c r="C117" s="1701"/>
      <c r="D117" s="1701"/>
      <c r="E117" s="1699">
        <v>7750</v>
      </c>
      <c r="F117" s="1699"/>
      <c r="G117" s="1700">
        <f>SUM(G118:G121)</f>
        <v>1278887380</v>
      </c>
    </row>
    <row r="118" spans="1:7" s="1555" customFormat="1" ht="15.75" customHeight="1" x14ac:dyDescent="0.2">
      <c r="A118" s="1696"/>
      <c r="B118" s="1697"/>
      <c r="C118" s="1701"/>
      <c r="D118" s="1701"/>
      <c r="E118" s="1699"/>
      <c r="F118" s="1699">
        <v>7756</v>
      </c>
      <c r="G118" s="1700">
        <v>8574000</v>
      </c>
    </row>
    <row r="119" spans="1:7" s="1555" customFormat="1" ht="15.75" customHeight="1" x14ac:dyDescent="0.2">
      <c r="A119" s="1696"/>
      <c r="B119" s="1697"/>
      <c r="C119" s="1701"/>
      <c r="D119" s="1701"/>
      <c r="E119" s="1699"/>
      <c r="F119" s="1699">
        <v>7757</v>
      </c>
      <c r="G119" s="1700">
        <v>2558380</v>
      </c>
    </row>
    <row r="120" spans="1:7" s="1555" customFormat="1" ht="15.75" customHeight="1" x14ac:dyDescent="0.2">
      <c r="A120" s="1696"/>
      <c r="B120" s="1697"/>
      <c r="C120" s="1701"/>
      <c r="D120" s="1701"/>
      <c r="E120" s="1699"/>
      <c r="F120" s="1699">
        <v>7766</v>
      </c>
      <c r="G120" s="1700">
        <v>861617000</v>
      </c>
    </row>
    <row r="121" spans="1:7" s="1555" customFormat="1" ht="15.75" customHeight="1" x14ac:dyDescent="0.2">
      <c r="A121" s="1696"/>
      <c r="B121" s="1697"/>
      <c r="C121" s="1701"/>
      <c r="D121" s="1701"/>
      <c r="E121" s="1699"/>
      <c r="F121" s="1699">
        <v>7799</v>
      </c>
      <c r="G121" s="1700">
        <v>406138000</v>
      </c>
    </row>
    <row r="122" spans="1:7" s="1555" customFormat="1" ht="15.75" customHeight="1" x14ac:dyDescent="0.2">
      <c r="A122" s="1696"/>
      <c r="B122" s="1697"/>
      <c r="C122" s="1701"/>
      <c r="D122" s="1701"/>
      <c r="E122" s="1702" t="s">
        <v>1037</v>
      </c>
      <c r="F122" s="1699"/>
      <c r="G122" s="1700">
        <f>G123</f>
        <v>5830068477</v>
      </c>
    </row>
    <row r="123" spans="1:7" s="1555" customFormat="1" ht="15.75" customHeight="1" x14ac:dyDescent="0.2">
      <c r="A123" s="1696"/>
      <c r="B123" s="1697"/>
      <c r="C123" s="1701"/>
      <c r="D123" s="1701"/>
      <c r="E123" s="1702" t="s">
        <v>1038</v>
      </c>
      <c r="F123" s="1699"/>
      <c r="G123" s="1700">
        <f>G124+G126+G128</f>
        <v>5830068477</v>
      </c>
    </row>
    <row r="124" spans="1:7" s="1555" customFormat="1" ht="15.75" customHeight="1" x14ac:dyDescent="0.2">
      <c r="A124" s="1696"/>
      <c r="B124" s="1697"/>
      <c r="C124" s="1701"/>
      <c r="D124" s="1701"/>
      <c r="E124" s="1699">
        <v>9300</v>
      </c>
      <c r="F124" s="1699"/>
      <c r="G124" s="1700">
        <f>G125</f>
        <v>4828374898</v>
      </c>
    </row>
    <row r="125" spans="1:7" s="1555" customFormat="1" ht="15.75" customHeight="1" x14ac:dyDescent="0.2">
      <c r="A125" s="1696"/>
      <c r="B125" s="1697"/>
      <c r="C125" s="1701"/>
      <c r="D125" s="1701"/>
      <c r="E125" s="1699"/>
      <c r="F125" s="1699">
        <v>9301</v>
      </c>
      <c r="G125" s="1700">
        <v>4828374898</v>
      </c>
    </row>
    <row r="126" spans="1:7" s="1555" customFormat="1" ht="15.75" customHeight="1" x14ac:dyDescent="0.2">
      <c r="A126" s="1696"/>
      <c r="B126" s="1697"/>
      <c r="C126" s="1701"/>
      <c r="D126" s="1701"/>
      <c r="E126" s="1699">
        <v>9350</v>
      </c>
      <c r="F126" s="1699"/>
      <c r="G126" s="1700">
        <f>G127</f>
        <v>243839500</v>
      </c>
    </row>
    <row r="127" spans="1:7" s="1555" customFormat="1" ht="15.75" customHeight="1" x14ac:dyDescent="0.2">
      <c r="A127" s="1696"/>
      <c r="B127" s="1697"/>
      <c r="C127" s="1701"/>
      <c r="D127" s="1701"/>
      <c r="E127" s="1699"/>
      <c r="F127" s="1699">
        <v>9351</v>
      </c>
      <c r="G127" s="1700">
        <v>243839500</v>
      </c>
    </row>
    <row r="128" spans="1:7" s="1555" customFormat="1" ht="15.75" customHeight="1" x14ac:dyDescent="0.2">
      <c r="A128" s="1696"/>
      <c r="B128" s="1697"/>
      <c r="C128" s="1701"/>
      <c r="D128" s="1701"/>
      <c r="E128" s="1699">
        <v>9400</v>
      </c>
      <c r="F128" s="1699"/>
      <c r="G128" s="1700">
        <f>SUM(G129:G131)</f>
        <v>757854079</v>
      </c>
    </row>
    <row r="129" spans="1:7" s="1555" customFormat="1" ht="15.75" customHeight="1" x14ac:dyDescent="0.2">
      <c r="A129" s="1696"/>
      <c r="B129" s="1697"/>
      <c r="C129" s="1701"/>
      <c r="D129" s="1701"/>
      <c r="E129" s="1699"/>
      <c r="F129" s="1699">
        <v>9401</v>
      </c>
      <c r="G129" s="1700">
        <v>189851049</v>
      </c>
    </row>
    <row r="130" spans="1:7" s="1555" customFormat="1" ht="15.75" customHeight="1" x14ac:dyDescent="0.2">
      <c r="A130" s="1696"/>
      <c r="B130" s="1697"/>
      <c r="C130" s="1701"/>
      <c r="D130" s="1701"/>
      <c r="E130" s="1699"/>
      <c r="F130" s="1699">
        <v>9402</v>
      </c>
      <c r="G130" s="1700">
        <v>542446572</v>
      </c>
    </row>
    <row r="131" spans="1:7" s="1555" customFormat="1" ht="15.75" customHeight="1" x14ac:dyDescent="0.2">
      <c r="A131" s="1696"/>
      <c r="B131" s="1697"/>
      <c r="C131" s="1701"/>
      <c r="D131" s="1701"/>
      <c r="E131" s="1705"/>
      <c r="F131" s="1705">
        <v>9449</v>
      </c>
      <c r="G131" s="1706">
        <v>25556458</v>
      </c>
    </row>
    <row r="132" spans="1:7" s="1555" customFormat="1" ht="15.75" customHeight="1" x14ac:dyDescent="0.2">
      <c r="A132" s="1696"/>
      <c r="B132" s="1697"/>
      <c r="C132" s="1698" t="s">
        <v>1039</v>
      </c>
      <c r="D132" s="1703"/>
      <c r="E132" s="1696"/>
      <c r="F132" s="1707"/>
      <c r="G132" s="1708">
        <f>G133</f>
        <v>32229723564</v>
      </c>
    </row>
    <row r="133" spans="1:7" s="1555" customFormat="1" ht="15.75" customHeight="1" x14ac:dyDescent="0.2">
      <c r="A133" s="1696"/>
      <c r="B133" s="1697"/>
      <c r="C133" s="1701"/>
      <c r="D133" s="1709" t="s">
        <v>1039</v>
      </c>
      <c r="E133" s="1696"/>
      <c r="F133" s="1707"/>
      <c r="G133" s="1708">
        <f>G134</f>
        <v>32229723564</v>
      </c>
    </row>
    <row r="134" spans="1:7" s="1555" customFormat="1" ht="15.75" customHeight="1" x14ac:dyDescent="0.2">
      <c r="A134" s="1696"/>
      <c r="B134" s="1697"/>
      <c r="C134" s="1701"/>
      <c r="D134" s="1701"/>
      <c r="E134" s="1710" t="s">
        <v>1031</v>
      </c>
      <c r="F134" s="1711"/>
      <c r="G134" s="1712">
        <f>G135+G166+G209</f>
        <v>32229723564</v>
      </c>
    </row>
    <row r="135" spans="1:7" s="1555" customFormat="1" ht="15.75" customHeight="1" x14ac:dyDescent="0.2">
      <c r="A135" s="1696"/>
      <c r="B135" s="1697"/>
      <c r="C135" s="1701"/>
      <c r="D135" s="1701"/>
      <c r="E135" s="1702" t="s">
        <v>1032</v>
      </c>
      <c r="F135" s="1699"/>
      <c r="G135" s="1700">
        <f>G136+G138+G140+G148+G152+G156+G158+G163</f>
        <v>27690287068</v>
      </c>
    </row>
    <row r="136" spans="1:7" s="1555" customFormat="1" ht="15.75" customHeight="1" x14ac:dyDescent="0.2">
      <c r="A136" s="1696"/>
      <c r="B136" s="1697"/>
      <c r="C136" s="1701"/>
      <c r="D136" s="1701"/>
      <c r="E136" s="1699">
        <v>6000</v>
      </c>
      <c r="F136" s="1703"/>
      <c r="G136" s="1700">
        <f>G137</f>
        <v>12013545011</v>
      </c>
    </row>
    <row r="137" spans="1:7" s="1555" customFormat="1" ht="15.75" customHeight="1" x14ac:dyDescent="0.2">
      <c r="A137" s="1696"/>
      <c r="B137" s="1697"/>
      <c r="C137" s="1701"/>
      <c r="D137" s="1701"/>
      <c r="E137" s="1699"/>
      <c r="F137" s="1699">
        <v>6001</v>
      </c>
      <c r="G137" s="1700">
        <v>12013545011</v>
      </c>
    </row>
    <row r="138" spans="1:7" s="1555" customFormat="1" ht="15.75" customHeight="1" x14ac:dyDescent="0.2">
      <c r="A138" s="1696"/>
      <c r="B138" s="1697"/>
      <c r="C138" s="1701"/>
      <c r="D138" s="1701"/>
      <c r="E138" s="1699">
        <v>6050</v>
      </c>
      <c r="F138" s="1699"/>
      <c r="G138" s="1700">
        <f>G139</f>
        <v>197957372</v>
      </c>
    </row>
    <row r="139" spans="1:7" s="1555" customFormat="1" ht="15.75" customHeight="1" x14ac:dyDescent="0.2">
      <c r="A139" s="1696"/>
      <c r="B139" s="1697"/>
      <c r="C139" s="1701"/>
      <c r="D139" s="1701"/>
      <c r="E139" s="1699"/>
      <c r="F139" s="1699">
        <v>6051</v>
      </c>
      <c r="G139" s="1700">
        <v>197957372</v>
      </c>
    </row>
    <row r="140" spans="1:7" s="1555" customFormat="1" ht="15.75" customHeight="1" x14ac:dyDescent="0.2">
      <c r="A140" s="1696"/>
      <c r="B140" s="1697"/>
      <c r="C140" s="1701"/>
      <c r="D140" s="1701"/>
      <c r="E140" s="1699">
        <v>6100</v>
      </c>
      <c r="F140" s="1699"/>
      <c r="G140" s="1700">
        <f>SUM(G141:G147)</f>
        <v>9839897495</v>
      </c>
    </row>
    <row r="141" spans="1:7" s="1555" customFormat="1" ht="15.75" customHeight="1" x14ac:dyDescent="0.2">
      <c r="A141" s="1696"/>
      <c r="B141" s="1697"/>
      <c r="C141" s="1701"/>
      <c r="D141" s="1701"/>
      <c r="E141" s="1699"/>
      <c r="F141" s="1699">
        <v>6101</v>
      </c>
      <c r="G141" s="1700">
        <v>167544000</v>
      </c>
    </row>
    <row r="142" spans="1:7" s="1555" customFormat="1" ht="15.75" customHeight="1" x14ac:dyDescent="0.2">
      <c r="A142" s="1696"/>
      <c r="B142" s="1697"/>
      <c r="C142" s="1701"/>
      <c r="D142" s="1701"/>
      <c r="E142" s="1699"/>
      <c r="F142" s="1699">
        <v>6102</v>
      </c>
      <c r="G142" s="1700">
        <v>917758174</v>
      </c>
    </row>
    <row r="143" spans="1:7" s="1555" customFormat="1" ht="15.75" customHeight="1" x14ac:dyDescent="0.2">
      <c r="A143" s="1696"/>
      <c r="B143" s="1697"/>
      <c r="C143" s="1701"/>
      <c r="D143" s="1701"/>
      <c r="E143" s="1699"/>
      <c r="F143" s="1699">
        <v>6105</v>
      </c>
      <c r="G143" s="1700">
        <v>235240481</v>
      </c>
    </row>
    <row r="144" spans="1:7" s="1555" customFormat="1" ht="15.75" customHeight="1" x14ac:dyDescent="0.2">
      <c r="A144" s="1696"/>
      <c r="B144" s="1697"/>
      <c r="C144" s="1701"/>
      <c r="D144" s="1701"/>
      <c r="E144" s="1699"/>
      <c r="F144" s="1699">
        <v>6107</v>
      </c>
      <c r="G144" s="1700">
        <v>22464000</v>
      </c>
    </row>
    <row r="145" spans="1:7" s="1555" customFormat="1" ht="15.75" customHeight="1" x14ac:dyDescent="0.2">
      <c r="A145" s="1696"/>
      <c r="B145" s="1697"/>
      <c r="C145" s="1701"/>
      <c r="D145" s="1701"/>
      <c r="E145" s="1699"/>
      <c r="F145" s="1699">
        <v>6112</v>
      </c>
      <c r="G145" s="1700">
        <v>6260456531</v>
      </c>
    </row>
    <row r="146" spans="1:7" s="1555" customFormat="1" ht="15.75" customHeight="1" x14ac:dyDescent="0.2">
      <c r="A146" s="1696"/>
      <c r="B146" s="1697"/>
      <c r="C146" s="1701"/>
      <c r="D146" s="1701"/>
      <c r="E146" s="1699"/>
      <c r="F146" s="1699">
        <v>6113</v>
      </c>
      <c r="G146" s="1700">
        <v>25740000</v>
      </c>
    </row>
    <row r="147" spans="1:7" s="1555" customFormat="1" ht="15.75" customHeight="1" x14ac:dyDescent="0.2">
      <c r="A147" s="1696"/>
      <c r="B147" s="1697"/>
      <c r="C147" s="1701"/>
      <c r="D147" s="1701"/>
      <c r="E147" s="1699"/>
      <c r="F147" s="1699">
        <v>6115</v>
      </c>
      <c r="G147" s="1700">
        <v>2210694309</v>
      </c>
    </row>
    <row r="148" spans="1:7" s="1555" customFormat="1" ht="15.75" customHeight="1" x14ac:dyDescent="0.2">
      <c r="A148" s="1696"/>
      <c r="B148" s="1697"/>
      <c r="C148" s="1701"/>
      <c r="D148" s="1701"/>
      <c r="E148" s="1699">
        <v>6150</v>
      </c>
      <c r="F148" s="1699"/>
      <c r="G148" s="1700">
        <f>SUM(G149:G151)</f>
        <v>386284636</v>
      </c>
    </row>
    <row r="149" spans="1:7" s="1555" customFormat="1" ht="15.75" customHeight="1" x14ac:dyDescent="0.2">
      <c r="A149" s="1696"/>
      <c r="B149" s="1697"/>
      <c r="C149" s="1701"/>
      <c r="D149" s="1701"/>
      <c r="E149" s="1699"/>
      <c r="F149" s="1699">
        <v>6151</v>
      </c>
      <c r="G149" s="1700">
        <v>76752000</v>
      </c>
    </row>
    <row r="150" spans="1:7" s="1555" customFormat="1" ht="15.75" customHeight="1" x14ac:dyDescent="0.2">
      <c r="A150" s="1696"/>
      <c r="B150" s="1697"/>
      <c r="C150" s="1701"/>
      <c r="D150" s="1701"/>
      <c r="E150" s="1699"/>
      <c r="F150" s="1699">
        <v>6157</v>
      </c>
      <c r="G150" s="1700">
        <v>90000000</v>
      </c>
    </row>
    <row r="151" spans="1:7" s="1555" customFormat="1" ht="15.75" customHeight="1" x14ac:dyDescent="0.2">
      <c r="A151" s="1696"/>
      <c r="B151" s="1697"/>
      <c r="C151" s="1701"/>
      <c r="D151" s="1701"/>
      <c r="E151" s="1699"/>
      <c r="F151" s="1699">
        <v>6199</v>
      </c>
      <c r="G151" s="1700">
        <v>219532636</v>
      </c>
    </row>
    <row r="152" spans="1:7" s="1555" customFormat="1" ht="15.75" customHeight="1" x14ac:dyDescent="0.2">
      <c r="A152" s="1696"/>
      <c r="B152" s="1697"/>
      <c r="C152" s="1701"/>
      <c r="D152" s="1701"/>
      <c r="E152" s="1699">
        <v>6200</v>
      </c>
      <c r="F152" s="1699"/>
      <c r="G152" s="1700">
        <f>SUM(G153:G155)</f>
        <v>1177710000</v>
      </c>
    </row>
    <row r="153" spans="1:7" s="1555" customFormat="1" ht="15.75" customHeight="1" x14ac:dyDescent="0.2">
      <c r="A153" s="1696"/>
      <c r="B153" s="1697"/>
      <c r="C153" s="1701"/>
      <c r="D153" s="1701"/>
      <c r="E153" s="1699"/>
      <c r="F153" s="1699">
        <v>6201</v>
      </c>
      <c r="G153" s="1700">
        <v>1160300000</v>
      </c>
    </row>
    <row r="154" spans="1:7" s="1555" customFormat="1" ht="15.75" customHeight="1" x14ac:dyDescent="0.2">
      <c r="A154" s="1696"/>
      <c r="B154" s="1697"/>
      <c r="C154" s="1701"/>
      <c r="D154" s="1701"/>
      <c r="E154" s="1699"/>
      <c r="F154" s="1699">
        <v>6202</v>
      </c>
      <c r="G154" s="1700">
        <v>9360000</v>
      </c>
    </row>
    <row r="155" spans="1:7" s="1555" customFormat="1" ht="15.75" customHeight="1" x14ac:dyDescent="0.2">
      <c r="A155" s="1696"/>
      <c r="B155" s="1697"/>
      <c r="C155" s="1701"/>
      <c r="D155" s="1701"/>
      <c r="E155" s="1699"/>
      <c r="F155" s="1699">
        <v>6249</v>
      </c>
      <c r="G155" s="1700">
        <v>8050000</v>
      </c>
    </row>
    <row r="156" spans="1:7" s="1555" customFormat="1" ht="15.75" customHeight="1" x14ac:dyDescent="0.2">
      <c r="A156" s="1696"/>
      <c r="B156" s="1697"/>
      <c r="C156" s="1701"/>
      <c r="D156" s="1701"/>
      <c r="E156" s="1699">
        <v>6250</v>
      </c>
      <c r="F156" s="1699"/>
      <c r="G156" s="1700">
        <f>G157</f>
        <v>164627300</v>
      </c>
    </row>
    <row r="157" spans="1:7" s="1555" customFormat="1" ht="15.75" customHeight="1" x14ac:dyDescent="0.2">
      <c r="A157" s="1696"/>
      <c r="B157" s="1697"/>
      <c r="C157" s="1701"/>
      <c r="D157" s="1701"/>
      <c r="E157" s="1699"/>
      <c r="F157" s="1699">
        <v>6299</v>
      </c>
      <c r="G157" s="1700">
        <v>164627300</v>
      </c>
    </row>
    <row r="158" spans="1:7" s="1555" customFormat="1" ht="15.75" customHeight="1" x14ac:dyDescent="0.2">
      <c r="A158" s="1713"/>
      <c r="B158" s="1714"/>
      <c r="C158" s="1715"/>
      <c r="D158" s="1715"/>
      <c r="E158" s="1705">
        <v>6300</v>
      </c>
      <c r="F158" s="1705"/>
      <c r="G158" s="1700">
        <f>SUM(G159:G162)</f>
        <v>3304398440</v>
      </c>
    </row>
    <row r="159" spans="1:7" x14ac:dyDescent="0.2">
      <c r="A159" s="1716"/>
      <c r="B159" s="1716"/>
      <c r="C159" s="1692"/>
      <c r="D159" s="1717"/>
      <c r="E159" s="1718"/>
      <c r="F159" s="1718">
        <v>6301</v>
      </c>
      <c r="G159" s="1700">
        <v>2593500107</v>
      </c>
    </row>
    <row r="160" spans="1:7" s="1688" customFormat="1" ht="18" customHeight="1" x14ac:dyDescent="0.2">
      <c r="A160" s="1687"/>
      <c r="B160" s="1686"/>
      <c r="C160" s="1686"/>
      <c r="D160" s="1686"/>
      <c r="E160" s="1686"/>
      <c r="F160" s="1686">
        <v>6302</v>
      </c>
      <c r="G160" s="1700">
        <v>444100565</v>
      </c>
    </row>
    <row r="161" spans="1:7" s="1688" customFormat="1" ht="15.75" customHeight="1" x14ac:dyDescent="0.2">
      <c r="A161" s="1687"/>
      <c r="B161" s="1686"/>
      <c r="C161" s="1686"/>
      <c r="D161" s="1686"/>
      <c r="E161" s="1686"/>
      <c r="F161" s="1686">
        <v>6303</v>
      </c>
      <c r="G161" s="1700">
        <v>118764244</v>
      </c>
    </row>
    <row r="162" spans="1:7" s="1688" customFormat="1" ht="15.75" customHeight="1" x14ac:dyDescent="0.2">
      <c r="A162" s="1687"/>
      <c r="B162" s="1686"/>
      <c r="C162" s="1686"/>
      <c r="D162" s="1686"/>
      <c r="E162" s="1686"/>
      <c r="F162" s="1686">
        <v>6304</v>
      </c>
      <c r="G162" s="1700">
        <v>148033524</v>
      </c>
    </row>
    <row r="163" spans="1:7" s="1688" customFormat="1" ht="11.25" x14ac:dyDescent="0.2">
      <c r="A163" s="1687"/>
      <c r="B163" s="1687"/>
      <c r="C163" s="1689"/>
      <c r="D163" s="1689"/>
      <c r="E163" s="1691">
        <v>6400</v>
      </c>
      <c r="F163" s="1691"/>
      <c r="G163" s="1700">
        <f>SUM(G164:G165)</f>
        <v>605866814</v>
      </c>
    </row>
    <row r="164" spans="1:7" s="92" customFormat="1" ht="15" x14ac:dyDescent="0.25">
      <c r="A164" s="1685"/>
      <c r="B164" s="1687"/>
      <c r="C164" s="1689"/>
      <c r="D164" s="1689"/>
      <c r="E164" s="1690"/>
      <c r="F164" s="1690">
        <v>6401</v>
      </c>
      <c r="G164" s="1700">
        <v>330408000</v>
      </c>
    </row>
    <row r="165" spans="1:7" s="92" customFormat="1" ht="15" x14ac:dyDescent="0.25">
      <c r="A165" s="1685"/>
      <c r="B165" s="1687"/>
      <c r="C165" s="1689"/>
      <c r="D165" s="1689"/>
      <c r="E165" s="1690"/>
      <c r="F165" s="1690">
        <v>6404</v>
      </c>
      <c r="G165" s="1700">
        <v>275458814</v>
      </c>
    </row>
    <row r="166" spans="1:7" s="92" customFormat="1" ht="15" x14ac:dyDescent="0.25">
      <c r="A166" s="1685"/>
      <c r="B166" s="1687"/>
      <c r="C166" s="1689"/>
      <c r="D166" s="1689"/>
      <c r="E166" s="1720" t="s">
        <v>1033</v>
      </c>
      <c r="F166" s="1690"/>
      <c r="G166" s="1700">
        <f>G167+G172+G177+G182+G186+G191+G195+G201+G204</f>
        <v>2679056076</v>
      </c>
    </row>
    <row r="167" spans="1:7" s="92" customFormat="1" ht="15" x14ac:dyDescent="0.25">
      <c r="A167" s="1685"/>
      <c r="B167" s="1687"/>
      <c r="C167" s="1689"/>
      <c r="D167" s="1689"/>
      <c r="E167" s="1690">
        <v>6500</v>
      </c>
      <c r="F167" s="1690"/>
      <c r="G167" s="1700">
        <f>SUM(G168:G171)</f>
        <v>167462039</v>
      </c>
    </row>
    <row r="168" spans="1:7" s="92" customFormat="1" ht="15" x14ac:dyDescent="0.25">
      <c r="A168" s="1685"/>
      <c r="B168" s="1687"/>
      <c r="C168" s="1689"/>
      <c r="D168" s="1689"/>
      <c r="E168" s="1690"/>
      <c r="F168" s="1690">
        <v>6501</v>
      </c>
      <c r="G168" s="1700">
        <v>126306687</v>
      </c>
    </row>
    <row r="169" spans="1:7" x14ac:dyDescent="0.2">
      <c r="A169" s="1716"/>
      <c r="B169" s="1716"/>
      <c r="C169" s="1692"/>
      <c r="D169" s="1717"/>
      <c r="E169" s="1718"/>
      <c r="F169" s="1718">
        <v>6502</v>
      </c>
      <c r="G169" s="1700">
        <v>17368352</v>
      </c>
    </row>
    <row r="170" spans="1:7" x14ac:dyDescent="0.2">
      <c r="A170" s="1716"/>
      <c r="B170" s="1716"/>
      <c r="C170" s="1692"/>
      <c r="D170" s="1717"/>
      <c r="E170" s="1718"/>
      <c r="F170" s="1718">
        <v>6504</v>
      </c>
      <c r="G170" s="1700">
        <v>10800000</v>
      </c>
    </row>
    <row r="171" spans="1:7" x14ac:dyDescent="0.2">
      <c r="A171" s="1716"/>
      <c r="B171" s="1716"/>
      <c r="C171" s="1692"/>
      <c r="D171" s="1717"/>
      <c r="E171" s="1718"/>
      <c r="F171" s="1718">
        <v>6505</v>
      </c>
      <c r="G171" s="1700">
        <v>12987000</v>
      </c>
    </row>
    <row r="172" spans="1:7" x14ac:dyDescent="0.2">
      <c r="A172" s="1716"/>
      <c r="B172" s="1716"/>
      <c r="C172" s="1692"/>
      <c r="D172" s="1717"/>
      <c r="E172" s="1718">
        <v>6550</v>
      </c>
      <c r="F172" s="1718"/>
      <c r="G172" s="1700">
        <f>SUM(G173:G176)</f>
        <v>536148912</v>
      </c>
    </row>
    <row r="173" spans="1:7" x14ac:dyDescent="0.2">
      <c r="A173" s="1716"/>
      <c r="B173" s="1716"/>
      <c r="C173" s="1692"/>
      <c r="D173" s="1717"/>
      <c r="E173" s="1718"/>
      <c r="F173" s="1718">
        <v>6551</v>
      </c>
      <c r="G173" s="1700">
        <v>40508856</v>
      </c>
    </row>
    <row r="174" spans="1:7" x14ac:dyDescent="0.2">
      <c r="A174" s="1716"/>
      <c r="B174" s="1716"/>
      <c r="C174" s="1692"/>
      <c r="D174" s="1717"/>
      <c r="E174" s="1718"/>
      <c r="F174" s="1718">
        <v>6552</v>
      </c>
      <c r="G174" s="1700">
        <v>321081180</v>
      </c>
    </row>
    <row r="175" spans="1:7" x14ac:dyDescent="0.2">
      <c r="A175" s="1716"/>
      <c r="B175" s="1716"/>
      <c r="C175" s="1692"/>
      <c r="D175" s="1717"/>
      <c r="E175" s="1718"/>
      <c r="F175" s="1718">
        <v>6553</v>
      </c>
      <c r="G175" s="1700">
        <v>57640000</v>
      </c>
    </row>
    <row r="176" spans="1:7" x14ac:dyDescent="0.2">
      <c r="A176" s="1716"/>
      <c r="B176" s="1716"/>
      <c r="C176" s="1692"/>
      <c r="D176" s="1717"/>
      <c r="E176" s="1718"/>
      <c r="F176" s="1718">
        <v>6599</v>
      </c>
      <c r="G176" s="1700">
        <v>116918876</v>
      </c>
    </row>
    <row r="177" spans="1:7" x14ac:dyDescent="0.2">
      <c r="A177" s="1716"/>
      <c r="B177" s="1716"/>
      <c r="C177" s="1692"/>
      <c r="D177" s="1717"/>
      <c r="E177" s="1718">
        <v>6600</v>
      </c>
      <c r="F177" s="1718"/>
      <c r="G177" s="1700">
        <f>SUM(G178:G181)</f>
        <v>75330696</v>
      </c>
    </row>
    <row r="178" spans="1:7" x14ac:dyDescent="0.2">
      <c r="A178" s="1716"/>
      <c r="B178" s="1716"/>
      <c r="C178" s="1692"/>
      <c r="D178" s="1717"/>
      <c r="E178" s="1718"/>
      <c r="F178" s="1718">
        <v>6601</v>
      </c>
      <c r="G178" s="1700">
        <v>5647827</v>
      </c>
    </row>
    <row r="179" spans="1:7" x14ac:dyDescent="0.2">
      <c r="A179" s="1716"/>
      <c r="B179" s="1716"/>
      <c r="C179" s="1692"/>
      <c r="D179" s="1717"/>
      <c r="E179" s="1718"/>
      <c r="F179" s="1718">
        <v>6605</v>
      </c>
      <c r="G179" s="1700">
        <v>47119189</v>
      </c>
    </row>
    <row r="180" spans="1:7" x14ac:dyDescent="0.2">
      <c r="A180" s="1716"/>
      <c r="B180" s="1716"/>
      <c r="C180" s="1692"/>
      <c r="D180" s="1717"/>
      <c r="E180" s="1718"/>
      <c r="F180" s="1718">
        <v>6606</v>
      </c>
      <c r="G180" s="1700">
        <v>1934000</v>
      </c>
    </row>
    <row r="181" spans="1:7" x14ac:dyDescent="0.2">
      <c r="A181" s="1716"/>
      <c r="B181" s="1716"/>
      <c r="C181" s="1692"/>
      <c r="D181" s="1717"/>
      <c r="E181" s="1718"/>
      <c r="F181" s="1718">
        <v>6649</v>
      </c>
      <c r="G181" s="1700">
        <v>20629680</v>
      </c>
    </row>
    <row r="182" spans="1:7" x14ac:dyDescent="0.2">
      <c r="A182" s="1716"/>
      <c r="B182" s="1716"/>
      <c r="C182" s="1692"/>
      <c r="D182" s="1717"/>
      <c r="E182" s="1718">
        <v>6650</v>
      </c>
      <c r="F182" s="1718"/>
      <c r="G182" s="1700">
        <f>SUM(G183:G185)</f>
        <v>11190839</v>
      </c>
    </row>
    <row r="183" spans="1:7" x14ac:dyDescent="0.2">
      <c r="A183" s="1716"/>
      <c r="B183" s="1716"/>
      <c r="C183" s="1692"/>
      <c r="D183" s="1717"/>
      <c r="E183" s="1718"/>
      <c r="F183" s="1718">
        <v>6651</v>
      </c>
      <c r="G183" s="1700">
        <v>2534700</v>
      </c>
    </row>
    <row r="184" spans="1:7" x14ac:dyDescent="0.2">
      <c r="A184" s="1716"/>
      <c r="B184" s="1716"/>
      <c r="C184" s="1692"/>
      <c r="D184" s="1717"/>
      <c r="E184" s="1718"/>
      <c r="F184" s="1718">
        <v>6652</v>
      </c>
      <c r="G184" s="1700">
        <v>4680000</v>
      </c>
    </row>
    <row r="185" spans="1:7" x14ac:dyDescent="0.2">
      <c r="A185" s="1716"/>
      <c r="B185" s="1716"/>
      <c r="C185" s="1692"/>
      <c r="D185" s="1717"/>
      <c r="E185" s="1718"/>
      <c r="F185" s="1718">
        <v>6699</v>
      </c>
      <c r="G185" s="1700">
        <v>3976139</v>
      </c>
    </row>
    <row r="186" spans="1:7" x14ac:dyDescent="0.2">
      <c r="A186" s="1716"/>
      <c r="B186" s="1716"/>
      <c r="C186" s="1692"/>
      <c r="D186" s="1717"/>
      <c r="E186" s="1718">
        <v>6700</v>
      </c>
      <c r="F186" s="1718"/>
      <c r="G186" s="1700">
        <f>SUM(G187:G190)</f>
        <v>101450000</v>
      </c>
    </row>
    <row r="187" spans="1:7" x14ac:dyDescent="0.2">
      <c r="A187" s="1716"/>
      <c r="B187" s="1716"/>
      <c r="C187" s="1692"/>
      <c r="D187" s="1717"/>
      <c r="E187" s="1718"/>
      <c r="F187" s="1718">
        <v>6701</v>
      </c>
      <c r="G187" s="1700">
        <v>17700000</v>
      </c>
    </row>
    <row r="188" spans="1:7" x14ac:dyDescent="0.2">
      <c r="A188" s="1716"/>
      <c r="B188" s="1716"/>
      <c r="C188" s="1692"/>
      <c r="D188" s="1717"/>
      <c r="E188" s="1718"/>
      <c r="F188" s="1718">
        <v>6702</v>
      </c>
      <c r="G188" s="1700">
        <v>28300000</v>
      </c>
    </row>
    <row r="189" spans="1:7" x14ac:dyDescent="0.2">
      <c r="A189" s="1716"/>
      <c r="B189" s="1716"/>
      <c r="C189" s="1692"/>
      <c r="D189" s="1717"/>
      <c r="E189" s="1718"/>
      <c r="F189" s="1718">
        <v>6703</v>
      </c>
      <c r="G189" s="1700">
        <v>24850000</v>
      </c>
    </row>
    <row r="190" spans="1:7" x14ac:dyDescent="0.2">
      <c r="A190" s="1716"/>
      <c r="B190" s="1716"/>
      <c r="C190" s="1692"/>
      <c r="D190" s="1717"/>
      <c r="E190" s="1718"/>
      <c r="F190" s="1718">
        <v>6704</v>
      </c>
      <c r="G190" s="1700">
        <v>30600000</v>
      </c>
    </row>
    <row r="191" spans="1:7" x14ac:dyDescent="0.2">
      <c r="A191" s="1716"/>
      <c r="B191" s="1716"/>
      <c r="C191" s="1692"/>
      <c r="D191" s="1717"/>
      <c r="E191" s="1718">
        <v>6750</v>
      </c>
      <c r="F191" s="1718"/>
      <c r="G191" s="1700">
        <f>SUM(G192:G194)</f>
        <v>455564698</v>
      </c>
    </row>
    <row r="192" spans="1:7" x14ac:dyDescent="0.2">
      <c r="A192" s="1716"/>
      <c r="B192" s="1716"/>
      <c r="C192" s="1692"/>
      <c r="D192" s="1717"/>
      <c r="E192" s="1718"/>
      <c r="F192" s="1718">
        <v>6751</v>
      </c>
      <c r="G192" s="1700">
        <v>1200000</v>
      </c>
    </row>
    <row r="193" spans="1:7" x14ac:dyDescent="0.2">
      <c r="A193" s="1716"/>
      <c r="B193" s="1716"/>
      <c r="C193" s="1692"/>
      <c r="D193" s="1717"/>
      <c r="E193" s="1718"/>
      <c r="F193" s="1718">
        <v>6757</v>
      </c>
      <c r="G193" s="1700">
        <v>326184198</v>
      </c>
    </row>
    <row r="194" spans="1:7" x14ac:dyDescent="0.2">
      <c r="A194" s="1716"/>
      <c r="B194" s="1716"/>
      <c r="C194" s="1692"/>
      <c r="D194" s="1717"/>
      <c r="E194" s="1718"/>
      <c r="F194" s="1718">
        <v>6799</v>
      </c>
      <c r="G194" s="1700">
        <v>128180500</v>
      </c>
    </row>
    <row r="195" spans="1:7" x14ac:dyDescent="0.2">
      <c r="A195" s="1716"/>
      <c r="B195" s="1716"/>
      <c r="C195" s="1692"/>
      <c r="D195" s="1717"/>
      <c r="E195" s="1718">
        <v>6900</v>
      </c>
      <c r="F195" s="1718"/>
      <c r="G195" s="1700">
        <f>SUM(G196:G200)</f>
        <v>425656164</v>
      </c>
    </row>
    <row r="196" spans="1:7" x14ac:dyDescent="0.2">
      <c r="A196" s="1716"/>
      <c r="B196" s="1716"/>
      <c r="C196" s="1692"/>
      <c r="D196" s="1717"/>
      <c r="E196" s="1718"/>
      <c r="F196" s="1718">
        <v>6905</v>
      </c>
      <c r="G196" s="1700">
        <v>5355000</v>
      </c>
    </row>
    <row r="197" spans="1:7" x14ac:dyDescent="0.2">
      <c r="A197" s="1716"/>
      <c r="B197" s="1716"/>
      <c r="C197" s="1692"/>
      <c r="D197" s="1717"/>
      <c r="E197" s="1718"/>
      <c r="F197" s="1718">
        <v>6907</v>
      </c>
      <c r="G197" s="1700">
        <v>55796000</v>
      </c>
    </row>
    <row r="198" spans="1:7" x14ac:dyDescent="0.2">
      <c r="A198" s="1716"/>
      <c r="B198" s="1716"/>
      <c r="C198" s="1692"/>
      <c r="D198" s="1717"/>
      <c r="E198" s="1718"/>
      <c r="F198" s="1718">
        <v>6912</v>
      </c>
      <c r="G198" s="1700">
        <v>78732360</v>
      </c>
    </row>
    <row r="199" spans="1:7" x14ac:dyDescent="0.2">
      <c r="A199" s="1716"/>
      <c r="B199" s="1716"/>
      <c r="C199" s="1692"/>
      <c r="D199" s="1717"/>
      <c r="E199" s="1718"/>
      <c r="F199" s="1718">
        <v>6921</v>
      </c>
      <c r="G199" s="1700">
        <v>71306774</v>
      </c>
    </row>
    <row r="200" spans="1:7" x14ac:dyDescent="0.2">
      <c r="A200" s="1716"/>
      <c r="B200" s="1716"/>
      <c r="C200" s="1692"/>
      <c r="D200" s="1717"/>
      <c r="E200" s="1718"/>
      <c r="F200" s="1718">
        <v>6949</v>
      </c>
      <c r="G200" s="1700">
        <v>214466030</v>
      </c>
    </row>
    <row r="201" spans="1:7" x14ac:dyDescent="0.2">
      <c r="A201" s="1716"/>
      <c r="B201" s="1716"/>
      <c r="C201" s="1692"/>
      <c r="D201" s="1717"/>
      <c r="E201" s="1718">
        <v>6950</v>
      </c>
      <c r="F201" s="1718"/>
      <c r="G201" s="1700">
        <f>SUM(G202:G203)</f>
        <v>150804000</v>
      </c>
    </row>
    <row r="202" spans="1:7" x14ac:dyDescent="0.2">
      <c r="A202" s="1716"/>
      <c r="B202" s="1716"/>
      <c r="C202" s="1692"/>
      <c r="D202" s="1717"/>
      <c r="E202" s="1718"/>
      <c r="F202" s="1718">
        <v>6955</v>
      </c>
      <c r="G202" s="1700">
        <v>10000000</v>
      </c>
    </row>
    <row r="203" spans="1:7" x14ac:dyDescent="0.2">
      <c r="A203" s="1716"/>
      <c r="B203" s="1716"/>
      <c r="C203" s="1692"/>
      <c r="D203" s="1717"/>
      <c r="E203" s="1718"/>
      <c r="F203" s="1718">
        <v>6999</v>
      </c>
      <c r="G203" s="1700">
        <v>140804000</v>
      </c>
    </row>
    <row r="204" spans="1:7" x14ac:dyDescent="0.2">
      <c r="A204" s="1716"/>
      <c r="B204" s="1716"/>
      <c r="C204" s="1692"/>
      <c r="D204" s="1717"/>
      <c r="E204" s="1718">
        <v>7000</v>
      </c>
      <c r="F204" s="1718"/>
      <c r="G204" s="1700">
        <f>SUM(G205:G208)</f>
        <v>755448728</v>
      </c>
    </row>
    <row r="205" spans="1:7" x14ac:dyDescent="0.2">
      <c r="A205" s="1716"/>
      <c r="B205" s="1716"/>
      <c r="C205" s="1692"/>
      <c r="D205" s="1717"/>
      <c r="E205" s="1718"/>
      <c r="F205" s="1718">
        <v>7001</v>
      </c>
      <c r="G205" s="1700">
        <v>111895867</v>
      </c>
    </row>
    <row r="206" spans="1:7" x14ac:dyDescent="0.2">
      <c r="A206" s="1716"/>
      <c r="B206" s="1716"/>
      <c r="C206" s="1692"/>
      <c r="D206" s="1717"/>
      <c r="E206" s="1718"/>
      <c r="F206" s="1718">
        <v>7004</v>
      </c>
      <c r="G206" s="1700">
        <v>18183333</v>
      </c>
    </row>
    <row r="207" spans="1:7" x14ac:dyDescent="0.2">
      <c r="A207" s="1716"/>
      <c r="B207" s="1716"/>
      <c r="C207" s="1692"/>
      <c r="D207" s="1717"/>
      <c r="E207" s="1718"/>
      <c r="F207" s="1718">
        <v>7012</v>
      </c>
      <c r="G207" s="1700">
        <v>7502000</v>
      </c>
    </row>
    <row r="208" spans="1:7" x14ac:dyDescent="0.2">
      <c r="A208" s="1716"/>
      <c r="B208" s="1716"/>
      <c r="C208" s="1692"/>
      <c r="D208" s="1717"/>
      <c r="E208" s="1718"/>
      <c r="F208" s="1718">
        <v>7049</v>
      </c>
      <c r="G208" s="1700">
        <v>617867528</v>
      </c>
    </row>
    <row r="209" spans="1:7" x14ac:dyDescent="0.2">
      <c r="A209" s="1716"/>
      <c r="B209" s="1716"/>
      <c r="C209" s="1692"/>
      <c r="D209" s="1717"/>
      <c r="E209" s="1716" t="s">
        <v>1034</v>
      </c>
      <c r="F209" s="1718"/>
      <c r="G209" s="1700">
        <f>G210</f>
        <v>1860380420</v>
      </c>
    </row>
    <row r="210" spans="1:7" x14ac:dyDescent="0.2">
      <c r="A210" s="1716"/>
      <c r="B210" s="1716"/>
      <c r="C210" s="1692"/>
      <c r="D210" s="1717"/>
      <c r="E210" s="1718">
        <v>7750</v>
      </c>
      <c r="F210" s="1718"/>
      <c r="G210" s="1700">
        <f>SUM(G211:G215)</f>
        <v>1860380420</v>
      </c>
    </row>
    <row r="211" spans="1:7" x14ac:dyDescent="0.2">
      <c r="A211" s="1716"/>
      <c r="B211" s="1716"/>
      <c r="C211" s="1692"/>
      <c r="D211" s="1717"/>
      <c r="E211" s="1718"/>
      <c r="F211" s="1718">
        <v>7756</v>
      </c>
      <c r="G211" s="1700">
        <v>3600000</v>
      </c>
    </row>
    <row r="212" spans="1:7" x14ac:dyDescent="0.2">
      <c r="A212" s="1716"/>
      <c r="B212" s="1716"/>
      <c r="C212" s="1692"/>
      <c r="D212" s="1717"/>
      <c r="E212" s="1718"/>
      <c r="F212" s="1718">
        <v>7757</v>
      </c>
      <c r="G212" s="1700">
        <v>3080000</v>
      </c>
    </row>
    <row r="213" spans="1:7" x14ac:dyDescent="0.2">
      <c r="A213" s="1716"/>
      <c r="B213" s="1716"/>
      <c r="C213" s="1692"/>
      <c r="D213" s="1717"/>
      <c r="E213" s="1718"/>
      <c r="F213" s="1718">
        <v>7761</v>
      </c>
      <c r="G213" s="1700">
        <v>2683800</v>
      </c>
    </row>
    <row r="214" spans="1:7" x14ac:dyDescent="0.2">
      <c r="A214" s="1716"/>
      <c r="B214" s="1716"/>
      <c r="C214" s="1692"/>
      <c r="D214" s="1717"/>
      <c r="E214" s="1718"/>
      <c r="F214" s="1718">
        <v>7766</v>
      </c>
      <c r="G214" s="1700">
        <v>1731000000</v>
      </c>
    </row>
    <row r="215" spans="1:7" x14ac:dyDescent="0.2">
      <c r="A215" s="1716"/>
      <c r="B215" s="1716"/>
      <c r="C215" s="1692"/>
      <c r="D215" s="1717"/>
      <c r="E215" s="1718"/>
      <c r="F215" s="1718">
        <v>7799</v>
      </c>
      <c r="G215" s="1700">
        <v>120016620</v>
      </c>
    </row>
    <row r="216" spans="1:7" x14ac:dyDescent="0.2">
      <c r="A216" s="1716"/>
      <c r="B216" s="1716"/>
      <c r="C216" s="1721" t="s">
        <v>1040</v>
      </c>
      <c r="D216" s="1717"/>
      <c r="E216" s="1718"/>
      <c r="F216" s="1718"/>
      <c r="G216" s="1700">
        <f>G217</f>
        <v>26932473024</v>
      </c>
    </row>
    <row r="217" spans="1:7" x14ac:dyDescent="0.2">
      <c r="A217" s="1716"/>
      <c r="B217" s="1716"/>
      <c r="C217" s="1692"/>
      <c r="D217" s="1722" t="s">
        <v>1040</v>
      </c>
      <c r="E217" s="1718"/>
      <c r="F217" s="1718"/>
      <c r="G217" s="1700">
        <f>G218+G291</f>
        <v>26932473024</v>
      </c>
    </row>
    <row r="218" spans="1:7" x14ac:dyDescent="0.2">
      <c r="A218" s="1716"/>
      <c r="B218" s="1716"/>
      <c r="C218" s="1692"/>
      <c r="D218" s="1717"/>
      <c r="E218" s="1716" t="s">
        <v>1031</v>
      </c>
      <c r="F218" s="1718"/>
      <c r="G218" s="1700">
        <f>G219+G249+G285</f>
        <v>21021597524</v>
      </c>
    </row>
    <row r="219" spans="1:7" x14ac:dyDescent="0.2">
      <c r="A219" s="1716"/>
      <c r="B219" s="1716"/>
      <c r="C219" s="1692"/>
      <c r="D219" s="1717"/>
      <c r="E219" s="1716" t="s">
        <v>1032</v>
      </c>
      <c r="F219" s="1718"/>
      <c r="G219" s="1700">
        <f>G220+G222+G224+G232+G236+G239+G241+G246</f>
        <v>18358685653</v>
      </c>
    </row>
    <row r="220" spans="1:7" x14ac:dyDescent="0.2">
      <c r="A220" s="1716"/>
      <c r="B220" s="1716"/>
      <c r="C220" s="1692"/>
      <c r="D220" s="1717"/>
      <c r="E220" s="1718">
        <v>6000</v>
      </c>
      <c r="F220" s="1718"/>
      <c r="G220" s="1700">
        <f>G221</f>
        <v>8110518572</v>
      </c>
    </row>
    <row r="221" spans="1:7" x14ac:dyDescent="0.2">
      <c r="A221" s="1716"/>
      <c r="B221" s="1716"/>
      <c r="C221" s="1692"/>
      <c r="D221" s="1717"/>
      <c r="E221" s="1718"/>
      <c r="F221" s="1718">
        <v>6001</v>
      </c>
      <c r="G221" s="1700">
        <v>8110518572</v>
      </c>
    </row>
    <row r="222" spans="1:7" x14ac:dyDescent="0.2">
      <c r="A222" s="1716"/>
      <c r="B222" s="1716"/>
      <c r="C222" s="1692"/>
      <c r="D222" s="1717"/>
      <c r="E222" s="1718">
        <v>6050</v>
      </c>
      <c r="F222" s="1718"/>
      <c r="G222" s="1700">
        <f>G223</f>
        <v>607223700</v>
      </c>
    </row>
    <row r="223" spans="1:7" x14ac:dyDescent="0.2">
      <c r="A223" s="1716"/>
      <c r="B223" s="1716"/>
      <c r="C223" s="1692"/>
      <c r="D223" s="1717"/>
      <c r="E223" s="1718"/>
      <c r="F223" s="1718">
        <v>6051</v>
      </c>
      <c r="G223" s="1700">
        <v>607223700</v>
      </c>
    </row>
    <row r="224" spans="1:7" x14ac:dyDescent="0.2">
      <c r="A224" s="1716"/>
      <c r="B224" s="1716"/>
      <c r="C224" s="1692"/>
      <c r="D224" s="1717"/>
      <c r="E224" s="1718">
        <v>6100</v>
      </c>
      <c r="F224" s="1718"/>
      <c r="G224" s="1700">
        <f>SUM(G225:G231)</f>
        <v>5895917013</v>
      </c>
    </row>
    <row r="225" spans="1:7" x14ac:dyDescent="0.2">
      <c r="A225" s="1716"/>
      <c r="B225" s="1716"/>
      <c r="C225" s="1692"/>
      <c r="D225" s="1717"/>
      <c r="E225" s="1718"/>
      <c r="F225" s="1718">
        <v>6101</v>
      </c>
      <c r="G225" s="1700">
        <v>125807175</v>
      </c>
    </row>
    <row r="226" spans="1:7" x14ac:dyDescent="0.2">
      <c r="A226" s="1716"/>
      <c r="B226" s="1716"/>
      <c r="C226" s="1692"/>
      <c r="D226" s="1717"/>
      <c r="E226" s="1718"/>
      <c r="F226" s="1718">
        <v>6102</v>
      </c>
      <c r="G226" s="1700">
        <v>602850857</v>
      </c>
    </row>
    <row r="227" spans="1:7" x14ac:dyDescent="0.2">
      <c r="A227" s="1716"/>
      <c r="B227" s="1716"/>
      <c r="C227" s="1692"/>
      <c r="D227" s="1717"/>
      <c r="E227" s="1718"/>
      <c r="F227" s="1718">
        <v>6105</v>
      </c>
      <c r="G227" s="1700">
        <v>432832098</v>
      </c>
    </row>
    <row r="228" spans="1:7" x14ac:dyDescent="0.2">
      <c r="A228" s="1716"/>
      <c r="B228" s="1716"/>
      <c r="C228" s="1692"/>
      <c r="D228" s="1717"/>
      <c r="E228" s="1718"/>
      <c r="F228" s="1718">
        <v>6107</v>
      </c>
      <c r="G228" s="1700">
        <v>11232000</v>
      </c>
    </row>
    <row r="229" spans="1:7" x14ac:dyDescent="0.2">
      <c r="A229" s="1716"/>
      <c r="B229" s="1716"/>
      <c r="C229" s="1692"/>
      <c r="D229" s="1717"/>
      <c r="E229" s="1718"/>
      <c r="F229" s="1718">
        <v>6112</v>
      </c>
      <c r="G229" s="1700">
        <v>3224693826</v>
      </c>
    </row>
    <row r="230" spans="1:7" x14ac:dyDescent="0.2">
      <c r="A230" s="1716"/>
      <c r="B230" s="1716"/>
      <c r="C230" s="1692"/>
      <c r="D230" s="1717"/>
      <c r="E230" s="1718"/>
      <c r="F230" s="1718">
        <v>6113</v>
      </c>
      <c r="G230" s="1700">
        <v>15444000</v>
      </c>
    </row>
    <row r="231" spans="1:7" x14ac:dyDescent="0.2">
      <c r="A231" s="1716"/>
      <c r="B231" s="1716"/>
      <c r="C231" s="1692"/>
      <c r="D231" s="1717"/>
      <c r="E231" s="1718"/>
      <c r="F231" s="1718">
        <v>6115</v>
      </c>
      <c r="G231" s="1700">
        <v>1483057057</v>
      </c>
    </row>
    <row r="232" spans="1:7" x14ac:dyDescent="0.2">
      <c r="A232" s="1716"/>
      <c r="B232" s="1716"/>
      <c r="C232" s="1692"/>
      <c r="D232" s="1717"/>
      <c r="E232" s="1718">
        <v>6150</v>
      </c>
      <c r="F232" s="1718"/>
      <c r="G232" s="1700">
        <f>SUM(G233:G235)</f>
        <v>227064000</v>
      </c>
    </row>
    <row r="233" spans="1:7" x14ac:dyDescent="0.2">
      <c r="A233" s="1716"/>
      <c r="B233" s="1716"/>
      <c r="C233" s="1692"/>
      <c r="D233" s="1717"/>
      <c r="E233" s="1718"/>
      <c r="F233" s="1718">
        <v>6151</v>
      </c>
      <c r="G233" s="1700">
        <v>24336000</v>
      </c>
    </row>
    <row r="234" spans="1:7" x14ac:dyDescent="0.2">
      <c r="A234" s="1716"/>
      <c r="B234" s="1716"/>
      <c r="C234" s="1692"/>
      <c r="D234" s="1717"/>
      <c r="E234" s="1718"/>
      <c r="F234" s="1718">
        <v>6157</v>
      </c>
      <c r="G234" s="1700">
        <v>67800000</v>
      </c>
    </row>
    <row r="235" spans="1:7" x14ac:dyDescent="0.2">
      <c r="A235" s="1716"/>
      <c r="B235" s="1716"/>
      <c r="C235" s="1692"/>
      <c r="D235" s="1717"/>
      <c r="E235" s="1718"/>
      <c r="F235" s="1718">
        <v>6199</v>
      </c>
      <c r="G235" s="1700">
        <v>134928000</v>
      </c>
    </row>
    <row r="236" spans="1:7" x14ac:dyDescent="0.2">
      <c r="A236" s="1716"/>
      <c r="B236" s="1716"/>
      <c r="C236" s="1692"/>
      <c r="D236" s="1717"/>
      <c r="E236" s="1718">
        <v>6200</v>
      </c>
      <c r="F236" s="1718"/>
      <c r="G236" s="1700">
        <f>SUM(G237:G238)</f>
        <v>787310000</v>
      </c>
    </row>
    <row r="237" spans="1:7" x14ac:dyDescent="0.2">
      <c r="A237" s="1716"/>
      <c r="B237" s="1716"/>
      <c r="C237" s="1692"/>
      <c r="D237" s="1717"/>
      <c r="E237" s="1718"/>
      <c r="F237" s="1718">
        <v>6201</v>
      </c>
      <c r="G237" s="1700">
        <v>784970000</v>
      </c>
    </row>
    <row r="238" spans="1:7" x14ac:dyDescent="0.2">
      <c r="A238" s="1716"/>
      <c r="B238" s="1716"/>
      <c r="C238" s="1692"/>
      <c r="D238" s="1717"/>
      <c r="E238" s="1718"/>
      <c r="F238" s="1718">
        <v>6202</v>
      </c>
      <c r="G238" s="1700">
        <v>2340000</v>
      </c>
    </row>
    <row r="239" spans="1:7" x14ac:dyDescent="0.2">
      <c r="A239" s="1716"/>
      <c r="B239" s="1716"/>
      <c r="C239" s="1692"/>
      <c r="D239" s="1717"/>
      <c r="E239" s="1718">
        <v>6250</v>
      </c>
      <c r="F239" s="1718"/>
      <c r="G239" s="1700">
        <f>G240</f>
        <v>78600000</v>
      </c>
    </row>
    <row r="240" spans="1:7" x14ac:dyDescent="0.2">
      <c r="A240" s="1716"/>
      <c r="B240" s="1716"/>
      <c r="C240" s="1692"/>
      <c r="D240" s="1717"/>
      <c r="E240" s="1718"/>
      <c r="F240" s="1718">
        <v>6299</v>
      </c>
      <c r="G240" s="1700">
        <v>78600000</v>
      </c>
    </row>
    <row r="241" spans="1:7" x14ac:dyDescent="0.2">
      <c r="A241" s="1716"/>
      <c r="B241" s="1716"/>
      <c r="C241" s="1692"/>
      <c r="D241" s="1717"/>
      <c r="E241" s="1718">
        <v>6300</v>
      </c>
      <c r="F241" s="1718"/>
      <c r="G241" s="1700">
        <f>SUM(G242:G245)</f>
        <v>2247741041</v>
      </c>
    </row>
    <row r="242" spans="1:7" x14ac:dyDescent="0.2">
      <c r="A242" s="1716"/>
      <c r="B242" s="1716"/>
      <c r="C242" s="1692"/>
      <c r="D242" s="1717"/>
      <c r="E242" s="1718"/>
      <c r="F242" s="1718">
        <v>6301</v>
      </c>
      <c r="G242" s="1700">
        <v>1769142685</v>
      </c>
    </row>
    <row r="243" spans="1:7" x14ac:dyDescent="0.2">
      <c r="A243" s="1716"/>
      <c r="B243" s="1716"/>
      <c r="C243" s="1692"/>
      <c r="D243" s="1717"/>
      <c r="E243" s="1718"/>
      <c r="F243" s="1718">
        <v>6302</v>
      </c>
      <c r="G243" s="1700">
        <v>296601183</v>
      </c>
    </row>
    <row r="244" spans="1:7" x14ac:dyDescent="0.2">
      <c r="A244" s="1716"/>
      <c r="B244" s="1716"/>
      <c r="C244" s="1692"/>
      <c r="D244" s="1717"/>
      <c r="E244" s="1718"/>
      <c r="F244" s="1718">
        <v>6303</v>
      </c>
      <c r="G244" s="1723">
        <v>83114802</v>
      </c>
    </row>
    <row r="245" spans="1:7" x14ac:dyDescent="0.2">
      <c r="A245" s="1716"/>
      <c r="B245" s="1716"/>
      <c r="C245" s="1692"/>
      <c r="D245" s="1717"/>
      <c r="E245" s="1718"/>
      <c r="F245" s="1718">
        <v>6304</v>
      </c>
      <c r="G245" s="1723">
        <v>98882371</v>
      </c>
    </row>
    <row r="246" spans="1:7" x14ac:dyDescent="0.2">
      <c r="A246" s="1716"/>
      <c r="B246" s="1716"/>
      <c r="C246" s="1692"/>
      <c r="D246" s="1717"/>
      <c r="E246" s="1718">
        <v>6400</v>
      </c>
      <c r="F246" s="1718"/>
      <c r="G246" s="1700">
        <f>SUM(G247:G248)</f>
        <v>404311327</v>
      </c>
    </row>
    <row r="247" spans="1:7" x14ac:dyDescent="0.2">
      <c r="A247" s="1716"/>
      <c r="B247" s="1716"/>
      <c r="C247" s="1692"/>
      <c r="D247" s="1717"/>
      <c r="E247" s="1718"/>
      <c r="F247" s="1718">
        <v>6401</v>
      </c>
      <c r="G247" s="1700">
        <v>138528000</v>
      </c>
    </row>
    <row r="248" spans="1:7" x14ac:dyDescent="0.2">
      <c r="A248" s="1716"/>
      <c r="B248" s="1716"/>
      <c r="C248" s="1692"/>
      <c r="D248" s="1717"/>
      <c r="E248" s="1718"/>
      <c r="F248" s="1718">
        <v>6404</v>
      </c>
      <c r="G248" s="1700">
        <v>265783327</v>
      </c>
    </row>
    <row r="249" spans="1:7" x14ac:dyDescent="0.2">
      <c r="A249" s="1716"/>
      <c r="B249" s="1716"/>
      <c r="C249" s="1692"/>
      <c r="D249" s="1717"/>
      <c r="E249" s="1716" t="s">
        <v>1033</v>
      </c>
      <c r="F249" s="1718"/>
      <c r="G249" s="1700">
        <f>G250+G255+G260+G265+G267+G272+G275+G279+G282</f>
        <v>863966871</v>
      </c>
    </row>
    <row r="250" spans="1:7" x14ac:dyDescent="0.2">
      <c r="A250" s="1716"/>
      <c r="B250" s="1716"/>
      <c r="C250" s="1692"/>
      <c r="D250" s="1717"/>
      <c r="E250" s="1718">
        <v>6500</v>
      </c>
      <c r="F250" s="1718"/>
      <c r="G250" s="1700">
        <f>SUM(G251:G254)</f>
        <v>90867361</v>
      </c>
    </row>
    <row r="251" spans="1:7" x14ac:dyDescent="0.2">
      <c r="A251" s="1716"/>
      <c r="B251" s="1716"/>
      <c r="C251" s="1692"/>
      <c r="D251" s="1717"/>
      <c r="E251" s="1718"/>
      <c r="F251" s="1718">
        <v>6501</v>
      </c>
      <c r="G251" s="1700">
        <v>80817661</v>
      </c>
    </row>
    <row r="252" spans="1:7" x14ac:dyDescent="0.2">
      <c r="A252" s="1716"/>
      <c r="B252" s="1716"/>
      <c r="C252" s="1692"/>
      <c r="D252" s="1717"/>
      <c r="E252" s="1718"/>
      <c r="F252" s="1718">
        <v>6502</v>
      </c>
      <c r="G252" s="1700">
        <v>1895700</v>
      </c>
    </row>
    <row r="253" spans="1:7" x14ac:dyDescent="0.2">
      <c r="A253" s="1716"/>
      <c r="B253" s="1716"/>
      <c r="C253" s="1692"/>
      <c r="D253" s="1717"/>
      <c r="E253" s="1718"/>
      <c r="F253" s="1718">
        <v>6504</v>
      </c>
      <c r="G253" s="1700">
        <v>1800000</v>
      </c>
    </row>
    <row r="254" spans="1:7" x14ac:dyDescent="0.2">
      <c r="A254" s="1716"/>
      <c r="B254" s="1716"/>
      <c r="C254" s="1692"/>
      <c r="D254" s="1717"/>
      <c r="E254" s="1718"/>
      <c r="F254" s="1718">
        <v>6505</v>
      </c>
      <c r="G254" s="1700">
        <v>6354000</v>
      </c>
    </row>
    <row r="255" spans="1:7" x14ac:dyDescent="0.2">
      <c r="A255" s="1716"/>
      <c r="B255" s="1716"/>
      <c r="C255" s="1692"/>
      <c r="D255" s="1717"/>
      <c r="E255" s="1718">
        <v>6550</v>
      </c>
      <c r="F255" s="1718"/>
      <c r="G255" s="1700">
        <f>SUM(G256:G259)</f>
        <v>188405534</v>
      </c>
    </row>
    <row r="256" spans="1:7" x14ac:dyDescent="0.2">
      <c r="A256" s="1716"/>
      <c r="B256" s="1716"/>
      <c r="C256" s="1692"/>
      <c r="D256" s="1717"/>
      <c r="E256" s="1718"/>
      <c r="F256" s="1718">
        <v>6551</v>
      </c>
      <c r="G256" s="1700">
        <v>5713000</v>
      </c>
    </row>
    <row r="257" spans="1:7" x14ac:dyDescent="0.2">
      <c r="A257" s="1716"/>
      <c r="B257" s="1716"/>
      <c r="C257" s="1692"/>
      <c r="D257" s="1717"/>
      <c r="E257" s="1718"/>
      <c r="F257" s="1718">
        <v>6552</v>
      </c>
      <c r="G257" s="1700">
        <v>99400000</v>
      </c>
    </row>
    <row r="258" spans="1:7" x14ac:dyDescent="0.2">
      <c r="A258" s="1716"/>
      <c r="B258" s="1716"/>
      <c r="C258" s="1692"/>
      <c r="D258" s="1717"/>
      <c r="E258" s="1718"/>
      <c r="F258" s="1718">
        <v>6553</v>
      </c>
      <c r="G258" s="1700">
        <v>43810000</v>
      </c>
    </row>
    <row r="259" spans="1:7" x14ac:dyDescent="0.2">
      <c r="A259" s="1716"/>
      <c r="B259" s="1716"/>
      <c r="C259" s="1692"/>
      <c r="D259" s="1717"/>
      <c r="E259" s="1718"/>
      <c r="F259" s="1718">
        <v>6599</v>
      </c>
      <c r="G259" s="1700">
        <v>39482534</v>
      </c>
    </row>
    <row r="260" spans="1:7" x14ac:dyDescent="0.2">
      <c r="A260" s="1716"/>
      <c r="B260" s="1716"/>
      <c r="C260" s="1692"/>
      <c r="D260" s="1717"/>
      <c r="E260" s="1718">
        <v>6600</v>
      </c>
      <c r="F260" s="1718"/>
      <c r="G260" s="1700">
        <f>SUM(G261:G264)</f>
        <v>28129107</v>
      </c>
    </row>
    <row r="261" spans="1:7" x14ac:dyDescent="0.2">
      <c r="A261" s="1716"/>
      <c r="B261" s="1716"/>
      <c r="C261" s="1692"/>
      <c r="D261" s="1717"/>
      <c r="E261" s="1718"/>
      <c r="F261" s="1718">
        <v>6601</v>
      </c>
      <c r="G261" s="1700">
        <v>3449287</v>
      </c>
    </row>
    <row r="262" spans="1:7" x14ac:dyDescent="0.2">
      <c r="A262" s="1716"/>
      <c r="B262" s="1716"/>
      <c r="C262" s="1692"/>
      <c r="D262" s="1717"/>
      <c r="E262" s="1718"/>
      <c r="F262" s="1718">
        <v>6605</v>
      </c>
      <c r="G262" s="1700">
        <v>20907700</v>
      </c>
    </row>
    <row r="263" spans="1:7" x14ac:dyDescent="0.2">
      <c r="A263" s="1716"/>
      <c r="B263" s="1716"/>
      <c r="C263" s="1692"/>
      <c r="D263" s="1717"/>
      <c r="E263" s="1718"/>
      <c r="F263" s="1718">
        <v>6608</v>
      </c>
      <c r="G263" s="1700">
        <v>1867000</v>
      </c>
    </row>
    <row r="264" spans="1:7" x14ac:dyDescent="0.2">
      <c r="A264" s="1716"/>
      <c r="B264" s="1716"/>
      <c r="C264" s="1692"/>
      <c r="D264" s="1717"/>
      <c r="E264" s="1718"/>
      <c r="F264" s="1718">
        <v>6649</v>
      </c>
      <c r="G264" s="1700">
        <v>1905120</v>
      </c>
    </row>
    <row r="265" spans="1:7" x14ac:dyDescent="0.2">
      <c r="A265" s="1716"/>
      <c r="B265" s="1716"/>
      <c r="C265" s="1692"/>
      <c r="D265" s="1717"/>
      <c r="E265" s="1718">
        <v>6650</v>
      </c>
      <c r="F265" s="1718"/>
      <c r="G265" s="1700">
        <f>G266</f>
        <v>720000</v>
      </c>
    </row>
    <row r="266" spans="1:7" x14ac:dyDescent="0.2">
      <c r="A266" s="1716"/>
      <c r="B266" s="1716"/>
      <c r="C266" s="1692"/>
      <c r="D266" s="1717"/>
      <c r="E266" s="1718"/>
      <c r="F266" s="1718">
        <v>6652</v>
      </c>
      <c r="G266" s="1700">
        <v>720000</v>
      </c>
    </row>
    <row r="267" spans="1:7" x14ac:dyDescent="0.2">
      <c r="A267" s="1716"/>
      <c r="B267" s="1716"/>
      <c r="C267" s="1692"/>
      <c r="D267" s="1717"/>
      <c r="E267" s="1718">
        <v>6700</v>
      </c>
      <c r="F267" s="1718"/>
      <c r="G267" s="1700">
        <f>SUM(G268:G271)</f>
        <v>85315400</v>
      </c>
    </row>
    <row r="268" spans="1:7" x14ac:dyDescent="0.2">
      <c r="A268" s="1716"/>
      <c r="B268" s="1716"/>
      <c r="C268" s="1692"/>
      <c r="D268" s="1717"/>
      <c r="E268" s="1718"/>
      <c r="F268" s="1718">
        <v>6701</v>
      </c>
      <c r="G268" s="1700">
        <v>5465400</v>
      </c>
    </row>
    <row r="269" spans="1:7" x14ac:dyDescent="0.2">
      <c r="A269" s="1716"/>
      <c r="B269" s="1716"/>
      <c r="C269" s="1692"/>
      <c r="D269" s="1717"/>
      <c r="E269" s="1718"/>
      <c r="F269" s="1718">
        <v>6702</v>
      </c>
      <c r="G269" s="1700">
        <v>28300000</v>
      </c>
    </row>
    <row r="270" spans="1:7" x14ac:dyDescent="0.2">
      <c r="A270" s="1716"/>
      <c r="B270" s="1716"/>
      <c r="C270" s="1692"/>
      <c r="D270" s="1717"/>
      <c r="E270" s="1718"/>
      <c r="F270" s="1718">
        <v>6703</v>
      </c>
      <c r="G270" s="1700">
        <v>30750000</v>
      </c>
    </row>
    <row r="271" spans="1:7" x14ac:dyDescent="0.2">
      <c r="A271" s="1716"/>
      <c r="B271" s="1716"/>
      <c r="C271" s="1692"/>
      <c r="D271" s="1717"/>
      <c r="E271" s="1718"/>
      <c r="F271" s="1718">
        <v>6704</v>
      </c>
      <c r="G271" s="1700">
        <v>20800000</v>
      </c>
    </row>
    <row r="272" spans="1:7" x14ac:dyDescent="0.2">
      <c r="A272" s="1716"/>
      <c r="B272" s="1716"/>
      <c r="C272" s="1692"/>
      <c r="D272" s="1717"/>
      <c r="E272" s="1718">
        <v>6750</v>
      </c>
      <c r="F272" s="1718"/>
      <c r="G272" s="1700">
        <f>SUM(G273:G274)</f>
        <v>81074700</v>
      </c>
    </row>
    <row r="273" spans="1:7" x14ac:dyDescent="0.2">
      <c r="A273" s="1716"/>
      <c r="B273" s="1716"/>
      <c r="C273" s="1692"/>
      <c r="D273" s="1717"/>
      <c r="E273" s="1718"/>
      <c r="F273" s="1718">
        <v>6757</v>
      </c>
      <c r="G273" s="1700">
        <v>60224700</v>
      </c>
    </row>
    <row r="274" spans="1:7" x14ac:dyDescent="0.2">
      <c r="A274" s="1716"/>
      <c r="B274" s="1716"/>
      <c r="C274" s="1692"/>
      <c r="D274" s="1717"/>
      <c r="E274" s="1718"/>
      <c r="F274" s="1718">
        <v>6799</v>
      </c>
      <c r="G274" s="1700">
        <v>20850000</v>
      </c>
    </row>
    <row r="275" spans="1:7" x14ac:dyDescent="0.2">
      <c r="A275" s="1716"/>
      <c r="B275" s="1716"/>
      <c r="C275" s="1692"/>
      <c r="D275" s="1717"/>
      <c r="E275" s="1718">
        <v>6900</v>
      </c>
      <c r="F275" s="1718"/>
      <c r="G275" s="1700">
        <f>SUM(G276:G278)</f>
        <v>203688599</v>
      </c>
    </row>
    <row r="276" spans="1:7" x14ac:dyDescent="0.2">
      <c r="A276" s="1716"/>
      <c r="B276" s="1716"/>
      <c r="C276" s="1692"/>
      <c r="D276" s="1717"/>
      <c r="E276" s="1718"/>
      <c r="F276" s="1718">
        <v>6907</v>
      </c>
      <c r="G276" s="1700">
        <v>49678000</v>
      </c>
    </row>
    <row r="277" spans="1:7" x14ac:dyDescent="0.2">
      <c r="A277" s="1716"/>
      <c r="B277" s="1716"/>
      <c r="C277" s="1692"/>
      <c r="D277" s="1717"/>
      <c r="E277" s="1718"/>
      <c r="F277" s="1718">
        <v>6912</v>
      </c>
      <c r="G277" s="1700">
        <v>34440000</v>
      </c>
    </row>
    <row r="278" spans="1:7" x14ac:dyDescent="0.2">
      <c r="A278" s="1716"/>
      <c r="B278" s="1716"/>
      <c r="C278" s="1692"/>
      <c r="D278" s="1717"/>
      <c r="E278" s="1718"/>
      <c r="F278" s="1718">
        <v>6949</v>
      </c>
      <c r="G278" s="1700">
        <v>119570599</v>
      </c>
    </row>
    <row r="279" spans="1:7" x14ac:dyDescent="0.2">
      <c r="A279" s="1716"/>
      <c r="B279" s="1716"/>
      <c r="C279" s="1692"/>
      <c r="D279" s="1717"/>
      <c r="E279" s="1718">
        <v>6950</v>
      </c>
      <c r="F279" s="1718"/>
      <c r="G279" s="1700">
        <f>SUM(G280:G281)</f>
        <v>31900000</v>
      </c>
    </row>
    <row r="280" spans="1:7" x14ac:dyDescent="0.2">
      <c r="A280" s="1716"/>
      <c r="B280" s="1716"/>
      <c r="C280" s="1692"/>
      <c r="D280" s="1717"/>
      <c r="E280" s="1718"/>
      <c r="F280" s="1718">
        <v>6954</v>
      </c>
      <c r="G280" s="1700">
        <v>18900000</v>
      </c>
    </row>
    <row r="281" spans="1:7" x14ac:dyDescent="0.2">
      <c r="A281" s="1716"/>
      <c r="B281" s="1716"/>
      <c r="C281" s="1692"/>
      <c r="D281" s="1717"/>
      <c r="E281" s="1718"/>
      <c r="F281" s="1718">
        <v>6956</v>
      </c>
      <c r="G281" s="1700">
        <v>13000000</v>
      </c>
    </row>
    <row r="282" spans="1:7" x14ac:dyDescent="0.2">
      <c r="A282" s="1716"/>
      <c r="B282" s="1716"/>
      <c r="C282" s="1692"/>
      <c r="D282" s="1717"/>
      <c r="E282" s="1718">
        <v>7000</v>
      </c>
      <c r="F282" s="1718"/>
      <c r="G282" s="1700">
        <f>SUM(G283:G284)</f>
        <v>153866170</v>
      </c>
    </row>
    <row r="283" spans="1:7" x14ac:dyDescent="0.2">
      <c r="A283" s="1716"/>
      <c r="B283" s="1716"/>
      <c r="C283" s="1692"/>
      <c r="D283" s="1717"/>
      <c r="E283" s="1718"/>
      <c r="F283" s="1718">
        <v>7004</v>
      </c>
      <c r="G283" s="1700">
        <v>15000000</v>
      </c>
    </row>
    <row r="284" spans="1:7" x14ac:dyDescent="0.2">
      <c r="A284" s="1716"/>
      <c r="B284" s="1716"/>
      <c r="C284" s="1692"/>
      <c r="D284" s="1717"/>
      <c r="E284" s="1718"/>
      <c r="F284" s="1718">
        <v>7049</v>
      </c>
      <c r="G284" s="1700">
        <v>138866170</v>
      </c>
    </row>
    <row r="285" spans="1:7" x14ac:dyDescent="0.2">
      <c r="A285" s="1716"/>
      <c r="B285" s="1716"/>
      <c r="C285" s="1692"/>
      <c r="D285" s="1717"/>
      <c r="E285" s="1716" t="s">
        <v>1034</v>
      </c>
      <c r="F285" s="1718"/>
      <c r="G285" s="1700">
        <f>G286</f>
        <v>1798945000</v>
      </c>
    </row>
    <row r="286" spans="1:7" x14ac:dyDescent="0.2">
      <c r="A286" s="1716"/>
      <c r="B286" s="1716"/>
      <c r="C286" s="1692"/>
      <c r="D286" s="1717"/>
      <c r="E286" s="1718">
        <v>7750</v>
      </c>
      <c r="F286" s="1718"/>
      <c r="G286" s="1700">
        <f>SUM(G287:G290)</f>
        <v>1798945000</v>
      </c>
    </row>
    <row r="287" spans="1:7" x14ac:dyDescent="0.2">
      <c r="A287" s="1716"/>
      <c r="B287" s="1716"/>
      <c r="C287" s="1692"/>
      <c r="D287" s="1717"/>
      <c r="E287" s="1718"/>
      <c r="F287" s="1718">
        <v>7756</v>
      </c>
      <c r="G287" s="1700">
        <v>9819000</v>
      </c>
    </row>
    <row r="288" spans="1:7" x14ac:dyDescent="0.2">
      <c r="A288" s="1716"/>
      <c r="B288" s="1716"/>
      <c r="C288" s="1692"/>
      <c r="D288" s="1717"/>
      <c r="E288" s="1718"/>
      <c r="F288" s="1718">
        <v>7761</v>
      </c>
      <c r="G288" s="1700">
        <v>21554400</v>
      </c>
    </row>
    <row r="289" spans="1:7" x14ac:dyDescent="0.2">
      <c r="A289" s="1716"/>
      <c r="B289" s="1716"/>
      <c r="C289" s="1692"/>
      <c r="D289" s="1717"/>
      <c r="E289" s="1718"/>
      <c r="F289" s="1718">
        <v>7766</v>
      </c>
      <c r="G289" s="1700">
        <v>1718524000</v>
      </c>
    </row>
    <row r="290" spans="1:7" x14ac:dyDescent="0.2">
      <c r="A290" s="1716"/>
      <c r="B290" s="1716"/>
      <c r="C290" s="1692"/>
      <c r="D290" s="1717"/>
      <c r="E290" s="1718"/>
      <c r="F290" s="1718">
        <v>7799</v>
      </c>
      <c r="G290" s="1700">
        <v>49047600</v>
      </c>
    </row>
    <row r="291" spans="1:7" x14ac:dyDescent="0.2">
      <c r="A291" s="1716"/>
      <c r="B291" s="1716"/>
      <c r="C291" s="1692"/>
      <c r="D291" s="1717"/>
      <c r="E291" s="1716" t="s">
        <v>1037</v>
      </c>
      <c r="F291" s="1718"/>
      <c r="G291" s="1700">
        <f>G292</f>
        <v>5910875500</v>
      </c>
    </row>
    <row r="292" spans="1:7" x14ac:dyDescent="0.2">
      <c r="A292" s="1716"/>
      <c r="B292" s="1716"/>
      <c r="C292" s="1692"/>
      <c r="D292" s="1717"/>
      <c r="E292" s="1716" t="s">
        <v>1038</v>
      </c>
      <c r="F292" s="1718"/>
      <c r="G292" s="1700">
        <f>G293+G295+G297</f>
        <v>5910875500</v>
      </c>
    </row>
    <row r="293" spans="1:7" x14ac:dyDescent="0.2">
      <c r="A293" s="1716"/>
      <c r="B293" s="1716"/>
      <c r="C293" s="1692"/>
      <c r="D293" s="1717"/>
      <c r="E293" s="1718">
        <v>9300</v>
      </c>
      <c r="F293" s="1718"/>
      <c r="G293" s="1700">
        <f>G294</f>
        <v>5769702405</v>
      </c>
    </row>
    <row r="294" spans="1:7" x14ac:dyDescent="0.2">
      <c r="A294" s="1716"/>
      <c r="B294" s="1716"/>
      <c r="C294" s="1692"/>
      <c r="D294" s="1717"/>
      <c r="E294" s="1718"/>
      <c r="F294" s="1718">
        <v>9301</v>
      </c>
      <c r="G294" s="1700">
        <v>5769702405</v>
      </c>
    </row>
    <row r="295" spans="1:7" x14ac:dyDescent="0.2">
      <c r="A295" s="1716"/>
      <c r="B295" s="1716"/>
      <c r="C295" s="1692"/>
      <c r="D295" s="1717"/>
      <c r="E295" s="1718">
        <v>9350</v>
      </c>
      <c r="F295" s="1718"/>
      <c r="G295" s="1700">
        <f>G296</f>
        <v>39952073</v>
      </c>
    </row>
    <row r="296" spans="1:7" x14ac:dyDescent="0.2">
      <c r="A296" s="1716"/>
      <c r="B296" s="1716"/>
      <c r="C296" s="1692"/>
      <c r="D296" s="1717"/>
      <c r="E296" s="1718"/>
      <c r="F296" s="1718">
        <v>9351</v>
      </c>
      <c r="G296" s="1700">
        <v>39952073</v>
      </c>
    </row>
    <row r="297" spans="1:7" x14ac:dyDescent="0.2">
      <c r="A297" s="1716"/>
      <c r="B297" s="1716"/>
      <c r="C297" s="1692"/>
      <c r="D297" s="1717"/>
      <c r="E297" s="1718">
        <v>9400</v>
      </c>
      <c r="F297" s="1718"/>
      <c r="G297" s="1700">
        <f>G298</f>
        <v>101221022</v>
      </c>
    </row>
    <row r="298" spans="1:7" x14ac:dyDescent="0.2">
      <c r="A298" s="1716"/>
      <c r="B298" s="1716"/>
      <c r="C298" s="1692"/>
      <c r="D298" s="1717"/>
      <c r="E298" s="1718"/>
      <c r="F298" s="1718">
        <v>9402</v>
      </c>
      <c r="G298" s="1700">
        <v>101221022</v>
      </c>
    </row>
    <row r="299" spans="1:7" x14ac:dyDescent="0.2">
      <c r="A299" s="1716"/>
      <c r="B299" s="1716"/>
      <c r="C299" s="1721" t="s">
        <v>401</v>
      </c>
      <c r="D299" s="1717"/>
      <c r="E299" s="1718"/>
      <c r="F299" s="1718"/>
      <c r="G299" s="1700">
        <f>G300</f>
        <v>24995154</v>
      </c>
    </row>
    <row r="300" spans="1:7" x14ac:dyDescent="0.2">
      <c r="A300" s="1716"/>
      <c r="B300" s="1716"/>
      <c r="C300" s="1692"/>
      <c r="D300" s="1722" t="s">
        <v>401</v>
      </c>
      <c r="E300" s="1718"/>
      <c r="F300" s="1718"/>
      <c r="G300" s="1700">
        <f>G301</f>
        <v>24995154</v>
      </c>
    </row>
    <row r="301" spans="1:7" x14ac:dyDescent="0.2">
      <c r="A301" s="1716"/>
      <c r="B301" s="1716"/>
      <c r="C301" s="1692"/>
      <c r="D301" s="1717"/>
      <c r="E301" s="1716" t="s">
        <v>1031</v>
      </c>
      <c r="F301" s="1718"/>
      <c r="G301" s="1700">
        <f>G302</f>
        <v>24995154</v>
      </c>
    </row>
    <row r="302" spans="1:7" x14ac:dyDescent="0.2">
      <c r="A302" s="1716"/>
      <c r="B302" s="1716"/>
      <c r="C302" s="1692"/>
      <c r="D302" s="1717"/>
      <c r="E302" s="1716" t="s">
        <v>1033</v>
      </c>
      <c r="F302" s="1718"/>
      <c r="G302" s="1700">
        <f>G303+G305+G309</f>
        <v>24995154</v>
      </c>
    </row>
    <row r="303" spans="1:7" x14ac:dyDescent="0.2">
      <c r="A303" s="1716"/>
      <c r="B303" s="1716"/>
      <c r="C303" s="1692"/>
      <c r="D303" s="1717"/>
      <c r="E303" s="1718">
        <v>6500</v>
      </c>
      <c r="F303" s="1718"/>
      <c r="G303" s="1700">
        <f>G304</f>
        <v>1548000</v>
      </c>
    </row>
    <row r="304" spans="1:7" x14ac:dyDescent="0.2">
      <c r="A304" s="1716"/>
      <c r="B304" s="1716"/>
      <c r="C304" s="1692"/>
      <c r="D304" s="1717"/>
      <c r="E304" s="1718"/>
      <c r="F304" s="1718">
        <v>6505</v>
      </c>
      <c r="G304" s="1700">
        <v>1548000</v>
      </c>
    </row>
    <row r="305" spans="1:7" x14ac:dyDescent="0.2">
      <c r="A305" s="1716"/>
      <c r="B305" s="1716"/>
      <c r="C305" s="1692"/>
      <c r="D305" s="1717"/>
      <c r="E305" s="1718">
        <v>6650</v>
      </c>
      <c r="F305" s="1718"/>
      <c r="G305" s="1700">
        <f>SUM(G306:G308)</f>
        <v>21947154</v>
      </c>
    </row>
    <row r="306" spans="1:7" x14ac:dyDescent="0.2">
      <c r="A306" s="1716"/>
      <c r="B306" s="1716"/>
      <c r="C306" s="1692"/>
      <c r="D306" s="1717"/>
      <c r="E306" s="1718"/>
      <c r="F306" s="1718">
        <v>6651</v>
      </c>
      <c r="G306" s="1700">
        <v>2032154</v>
      </c>
    </row>
    <row r="307" spans="1:7" x14ac:dyDescent="0.2">
      <c r="A307" s="1716"/>
      <c r="B307" s="1716"/>
      <c r="C307" s="1692"/>
      <c r="D307" s="1717"/>
      <c r="E307" s="1718"/>
      <c r="F307" s="1718">
        <v>6652</v>
      </c>
      <c r="G307" s="1700">
        <v>4900000</v>
      </c>
    </row>
    <row r="308" spans="1:7" x14ac:dyDescent="0.2">
      <c r="A308" s="1716"/>
      <c r="B308" s="1716"/>
      <c r="C308" s="1692"/>
      <c r="D308" s="1717"/>
      <c r="E308" s="1718"/>
      <c r="F308" s="1718">
        <v>6699</v>
      </c>
      <c r="G308" s="1700">
        <v>15015000</v>
      </c>
    </row>
    <row r="309" spans="1:7" x14ac:dyDescent="0.2">
      <c r="A309" s="1716"/>
      <c r="B309" s="1716"/>
      <c r="C309" s="1692"/>
      <c r="D309" s="1717"/>
      <c r="E309" s="1718">
        <v>6700</v>
      </c>
      <c r="F309" s="1718"/>
      <c r="G309" s="1700">
        <f>SUM(G310:G311)</f>
        <v>1500000</v>
      </c>
    </row>
    <row r="310" spans="1:7" x14ac:dyDescent="0.2">
      <c r="A310" s="1716"/>
      <c r="B310" s="1716"/>
      <c r="C310" s="1692"/>
      <c r="D310" s="1717"/>
      <c r="E310" s="1718"/>
      <c r="F310" s="1718">
        <v>6702</v>
      </c>
      <c r="G310" s="1700">
        <v>450000</v>
      </c>
    </row>
    <row r="311" spans="1:7" x14ac:dyDescent="0.2">
      <c r="A311" s="1716"/>
      <c r="B311" s="1716"/>
      <c r="C311" s="1692"/>
      <c r="D311" s="1717"/>
      <c r="E311" s="1718"/>
      <c r="F311" s="1718">
        <v>6703</v>
      </c>
      <c r="G311" s="1700">
        <v>1050000</v>
      </c>
    </row>
    <row r="312" spans="1:7" x14ac:dyDescent="0.2">
      <c r="A312" s="1716"/>
      <c r="B312" s="1716"/>
      <c r="C312" s="1692">
        <v>161</v>
      </c>
      <c r="D312" s="1717"/>
      <c r="E312" s="1718"/>
      <c r="F312" s="1718"/>
      <c r="G312" s="1700">
        <f>G313</f>
        <v>616695309</v>
      </c>
    </row>
    <row r="313" spans="1:7" x14ac:dyDescent="0.2">
      <c r="A313" s="1716"/>
      <c r="B313" s="1716"/>
      <c r="C313" s="1692"/>
      <c r="D313" s="1717">
        <v>161</v>
      </c>
      <c r="E313" s="1718"/>
      <c r="F313" s="1718"/>
      <c r="G313" s="1700">
        <f>G314</f>
        <v>616695309</v>
      </c>
    </row>
    <row r="314" spans="1:7" x14ac:dyDescent="0.2">
      <c r="A314" s="1716"/>
      <c r="B314" s="1716"/>
      <c r="C314" s="1692"/>
      <c r="D314" s="1717"/>
      <c r="E314" s="1716" t="s">
        <v>1031</v>
      </c>
      <c r="F314" s="1718"/>
      <c r="G314" s="1700">
        <f>G315+G337+G356</f>
        <v>616695309</v>
      </c>
    </row>
    <row r="315" spans="1:7" x14ac:dyDescent="0.2">
      <c r="A315" s="1716"/>
      <c r="B315" s="1716"/>
      <c r="C315" s="1692"/>
      <c r="D315" s="1717"/>
      <c r="E315" s="1716" t="s">
        <v>1032</v>
      </c>
      <c r="F315" s="1718"/>
      <c r="G315" s="1700">
        <f>G316+G318+G327+G329+G333+G335</f>
        <v>520434861</v>
      </c>
    </row>
    <row r="316" spans="1:7" x14ac:dyDescent="0.2">
      <c r="A316" s="1716"/>
      <c r="B316" s="1716"/>
      <c r="C316" s="1692"/>
      <c r="D316" s="1717"/>
      <c r="E316" s="1718">
        <v>6000</v>
      </c>
      <c r="F316" s="1718"/>
      <c r="G316" s="1700">
        <f>G317</f>
        <v>349194456</v>
      </c>
    </row>
    <row r="317" spans="1:7" x14ac:dyDescent="0.2">
      <c r="A317" s="1716"/>
      <c r="B317" s="1716"/>
      <c r="C317" s="1692"/>
      <c r="D317" s="1717"/>
      <c r="E317" s="1718"/>
      <c r="F317" s="1718">
        <v>6001</v>
      </c>
      <c r="G317" s="1700">
        <v>349194456</v>
      </c>
    </row>
    <row r="318" spans="1:7" x14ac:dyDescent="0.2">
      <c r="A318" s="1716"/>
      <c r="B318" s="1716"/>
      <c r="C318" s="1692"/>
      <c r="D318" s="1717"/>
      <c r="E318" s="1718">
        <v>6100</v>
      </c>
      <c r="F318" s="1718"/>
      <c r="G318" s="1700">
        <f>SUM(G319:G326)</f>
        <v>67447216</v>
      </c>
    </row>
    <row r="319" spans="1:7" x14ac:dyDescent="0.2">
      <c r="A319" s="1716"/>
      <c r="B319" s="1716"/>
      <c r="C319" s="1692"/>
      <c r="D319" s="1717"/>
      <c r="E319" s="1718"/>
      <c r="F319" s="1718">
        <v>6101</v>
      </c>
      <c r="G319" s="1700">
        <v>2340000</v>
      </c>
    </row>
    <row r="320" spans="1:7" x14ac:dyDescent="0.2">
      <c r="A320" s="1716"/>
      <c r="B320" s="1716"/>
      <c r="C320" s="1692"/>
      <c r="D320" s="1717"/>
      <c r="E320" s="1718"/>
      <c r="F320" s="1718">
        <v>6102</v>
      </c>
      <c r="G320" s="1700">
        <v>27612000</v>
      </c>
    </row>
    <row r="321" spans="1:7" x14ac:dyDescent="0.2">
      <c r="A321" s="1716"/>
      <c r="B321" s="1716"/>
      <c r="C321" s="1692"/>
      <c r="D321" s="1717"/>
      <c r="E321" s="1718"/>
      <c r="F321" s="1718">
        <v>6105</v>
      </c>
      <c r="G321" s="1700">
        <v>11628856</v>
      </c>
    </row>
    <row r="322" spans="1:7" x14ac:dyDescent="0.2">
      <c r="A322" s="1716"/>
      <c r="B322" s="1716"/>
      <c r="C322" s="1692"/>
      <c r="D322" s="1717"/>
      <c r="E322" s="1718"/>
      <c r="F322" s="1718">
        <v>6107</v>
      </c>
      <c r="G322" s="1700">
        <v>468000</v>
      </c>
    </row>
    <row r="323" spans="1:7" x14ac:dyDescent="0.2">
      <c r="A323" s="1716"/>
      <c r="B323" s="1716"/>
      <c r="C323" s="1692"/>
      <c r="D323" s="1717"/>
      <c r="E323" s="1718"/>
      <c r="F323" s="1718">
        <v>6113</v>
      </c>
      <c r="G323" s="1700">
        <v>702000</v>
      </c>
    </row>
    <row r="324" spans="1:7" x14ac:dyDescent="0.2">
      <c r="A324" s="1716"/>
      <c r="B324" s="1716"/>
      <c r="C324" s="1692"/>
      <c r="D324" s="1717"/>
      <c r="E324" s="1718"/>
      <c r="F324" s="1718">
        <v>6121</v>
      </c>
      <c r="G324" s="1700">
        <v>1170000</v>
      </c>
    </row>
    <row r="325" spans="1:7" x14ac:dyDescent="0.2">
      <c r="A325" s="1716"/>
      <c r="B325" s="1716"/>
      <c r="C325" s="1692"/>
      <c r="D325" s="1717"/>
      <c r="E325" s="1718"/>
      <c r="F325" s="1718">
        <v>6123</v>
      </c>
      <c r="G325" s="1700">
        <v>12832560</v>
      </c>
    </row>
    <row r="326" spans="1:7" x14ac:dyDescent="0.2">
      <c r="A326" s="1716"/>
      <c r="B326" s="1716"/>
      <c r="C326" s="1692"/>
      <c r="D326" s="1717"/>
      <c r="E326" s="1718"/>
      <c r="F326" s="1718">
        <v>6124</v>
      </c>
      <c r="G326" s="1700">
        <v>10693800</v>
      </c>
    </row>
    <row r="327" spans="1:7" x14ac:dyDescent="0.2">
      <c r="A327" s="1716"/>
      <c r="B327" s="1716"/>
      <c r="C327" s="1692"/>
      <c r="D327" s="1717"/>
      <c r="E327" s="1718">
        <v>6250</v>
      </c>
      <c r="F327" s="1718"/>
      <c r="G327" s="1700">
        <f>G328</f>
        <v>6000000</v>
      </c>
    </row>
    <row r="328" spans="1:7" x14ac:dyDescent="0.2">
      <c r="A328" s="1716"/>
      <c r="B328" s="1716"/>
      <c r="C328" s="1692"/>
      <c r="D328" s="1717"/>
      <c r="E328" s="1718"/>
      <c r="F328" s="1718">
        <v>6299</v>
      </c>
      <c r="G328" s="1700">
        <v>6000000</v>
      </c>
    </row>
    <row r="329" spans="1:7" x14ac:dyDescent="0.2">
      <c r="A329" s="1716"/>
      <c r="B329" s="1716"/>
      <c r="C329" s="1692"/>
      <c r="D329" s="1717"/>
      <c r="E329" s="1718">
        <v>6300</v>
      </c>
      <c r="F329" s="1718"/>
      <c r="G329" s="1700">
        <f>SUM(G330:G332)</f>
        <v>75583486</v>
      </c>
    </row>
    <row r="330" spans="1:7" x14ac:dyDescent="0.2">
      <c r="A330" s="1716"/>
      <c r="B330" s="1716"/>
      <c r="C330" s="1692"/>
      <c r="D330" s="1717"/>
      <c r="E330" s="1718"/>
      <c r="F330" s="1718">
        <v>6301</v>
      </c>
      <c r="G330" s="1700">
        <v>61787080</v>
      </c>
    </row>
    <row r="331" spans="1:7" x14ac:dyDescent="0.2">
      <c r="A331" s="1716"/>
      <c r="B331" s="1716"/>
      <c r="C331" s="1692"/>
      <c r="D331" s="1717"/>
      <c r="E331" s="1718"/>
      <c r="F331" s="1718">
        <v>6302</v>
      </c>
      <c r="G331" s="1700">
        <v>10574928</v>
      </c>
    </row>
    <row r="332" spans="1:7" x14ac:dyDescent="0.2">
      <c r="A332" s="1716"/>
      <c r="B332" s="1716"/>
      <c r="C332" s="1692"/>
      <c r="D332" s="1717"/>
      <c r="E332" s="1718"/>
      <c r="F332" s="1718">
        <v>6304</v>
      </c>
      <c r="G332" s="1700">
        <v>3221478</v>
      </c>
    </row>
    <row r="333" spans="1:7" x14ac:dyDescent="0.2">
      <c r="A333" s="1716"/>
      <c r="B333" s="1716"/>
      <c r="C333" s="1692"/>
      <c r="D333" s="1717"/>
      <c r="E333" s="1718">
        <v>6350</v>
      </c>
      <c r="F333" s="1718"/>
      <c r="G333" s="1700">
        <f>G334</f>
        <v>3455400</v>
      </c>
    </row>
    <row r="334" spans="1:7" x14ac:dyDescent="0.2">
      <c r="A334" s="1716"/>
      <c r="B334" s="1716"/>
      <c r="C334" s="1692"/>
      <c r="D334" s="1717"/>
      <c r="E334" s="1718"/>
      <c r="F334" s="1718">
        <v>6353</v>
      </c>
      <c r="G334" s="1700">
        <v>3455400</v>
      </c>
    </row>
    <row r="335" spans="1:7" x14ac:dyDescent="0.2">
      <c r="A335" s="1716"/>
      <c r="B335" s="1716"/>
      <c r="C335" s="1692"/>
      <c r="D335" s="1717"/>
      <c r="E335" s="1718">
        <v>6400</v>
      </c>
      <c r="F335" s="1718"/>
      <c r="G335" s="1700">
        <f>G336</f>
        <v>18754303</v>
      </c>
    </row>
    <row r="336" spans="1:7" x14ac:dyDescent="0.2">
      <c r="A336" s="1716"/>
      <c r="B336" s="1716"/>
      <c r="C336" s="1692"/>
      <c r="D336" s="1717"/>
      <c r="E336" s="1718"/>
      <c r="F336" s="1718">
        <v>6404</v>
      </c>
      <c r="G336" s="1700">
        <v>18754303</v>
      </c>
    </row>
    <row r="337" spans="1:7" x14ac:dyDescent="0.2">
      <c r="A337" s="1716"/>
      <c r="B337" s="1716"/>
      <c r="C337" s="1692"/>
      <c r="D337" s="1717"/>
      <c r="E337" s="1716" t="s">
        <v>1033</v>
      </c>
      <c r="F337" s="1718"/>
      <c r="G337" s="1700">
        <f>G338+G340+G344+G348+G350+G352+G354</f>
        <v>79300448</v>
      </c>
    </row>
    <row r="338" spans="1:7" x14ac:dyDescent="0.2">
      <c r="A338" s="1716"/>
      <c r="B338" s="1716"/>
      <c r="C338" s="1692"/>
      <c r="D338" s="1717"/>
      <c r="E338" s="1718">
        <v>6500</v>
      </c>
      <c r="F338" s="1718"/>
      <c r="G338" s="1700">
        <f>G339</f>
        <v>1280000</v>
      </c>
    </row>
    <row r="339" spans="1:7" x14ac:dyDescent="0.2">
      <c r="A339" s="1716"/>
      <c r="B339" s="1716"/>
      <c r="C339" s="1692"/>
      <c r="D339" s="1717"/>
      <c r="E339" s="1718"/>
      <c r="F339" s="1718">
        <v>6505</v>
      </c>
      <c r="G339" s="1700">
        <v>1280000</v>
      </c>
    </row>
    <row r="340" spans="1:7" x14ac:dyDescent="0.2">
      <c r="A340" s="1716"/>
      <c r="B340" s="1716"/>
      <c r="C340" s="1692"/>
      <c r="D340" s="1717"/>
      <c r="E340" s="1718">
        <v>6550</v>
      </c>
      <c r="F340" s="1718"/>
      <c r="G340" s="1700">
        <f>SUM(G341:G343)</f>
        <v>6473528</v>
      </c>
    </row>
    <row r="341" spans="1:7" x14ac:dyDescent="0.2">
      <c r="A341" s="1716"/>
      <c r="B341" s="1716"/>
      <c r="C341" s="1692"/>
      <c r="D341" s="1717"/>
      <c r="E341" s="1718"/>
      <c r="F341" s="1718">
        <v>6551</v>
      </c>
      <c r="G341" s="1700">
        <v>4923528</v>
      </c>
    </row>
    <row r="342" spans="1:7" x14ac:dyDescent="0.2">
      <c r="A342" s="1716"/>
      <c r="B342" s="1716"/>
      <c r="C342" s="1692"/>
      <c r="D342" s="1717"/>
      <c r="E342" s="1718"/>
      <c r="F342" s="1718">
        <v>6552</v>
      </c>
      <c r="G342" s="1700">
        <v>850000</v>
      </c>
    </row>
    <row r="343" spans="1:7" x14ac:dyDescent="0.2">
      <c r="A343" s="1716"/>
      <c r="B343" s="1716"/>
      <c r="C343" s="1692"/>
      <c r="D343" s="1717"/>
      <c r="E343" s="1718"/>
      <c r="F343" s="1718">
        <v>6599</v>
      </c>
      <c r="G343" s="1700">
        <v>700000</v>
      </c>
    </row>
    <row r="344" spans="1:7" x14ac:dyDescent="0.2">
      <c r="A344" s="1716"/>
      <c r="B344" s="1716"/>
      <c r="C344" s="1692"/>
      <c r="D344" s="1717"/>
      <c r="E344" s="1718">
        <v>6700</v>
      </c>
      <c r="F344" s="1718"/>
      <c r="G344" s="1700">
        <f>SUM(G345:G347)</f>
        <v>6096000</v>
      </c>
    </row>
    <row r="345" spans="1:7" x14ac:dyDescent="0.2">
      <c r="A345" s="1716"/>
      <c r="B345" s="1716"/>
      <c r="C345" s="1692"/>
      <c r="D345" s="1717"/>
      <c r="E345" s="1718"/>
      <c r="F345" s="1718">
        <v>6701</v>
      </c>
      <c r="G345" s="1700">
        <v>696000</v>
      </c>
    </row>
    <row r="346" spans="1:7" x14ac:dyDescent="0.2">
      <c r="A346" s="1716"/>
      <c r="B346" s="1716"/>
      <c r="C346" s="1692"/>
      <c r="D346" s="1717"/>
      <c r="E346" s="1718"/>
      <c r="F346" s="1718">
        <v>6702</v>
      </c>
      <c r="G346" s="1700">
        <v>3300000</v>
      </c>
    </row>
    <row r="347" spans="1:7" x14ac:dyDescent="0.2">
      <c r="A347" s="1716"/>
      <c r="B347" s="1716"/>
      <c r="C347" s="1692"/>
      <c r="D347" s="1717"/>
      <c r="E347" s="1718"/>
      <c r="F347" s="1718">
        <v>6703</v>
      </c>
      <c r="G347" s="1700">
        <v>2100000</v>
      </c>
    </row>
    <row r="348" spans="1:7" x14ac:dyDescent="0.2">
      <c r="A348" s="1716"/>
      <c r="B348" s="1716"/>
      <c r="C348" s="1692"/>
      <c r="D348" s="1717"/>
      <c r="E348" s="1718">
        <v>6750</v>
      </c>
      <c r="F348" s="1718"/>
      <c r="G348" s="1700">
        <f>G349</f>
        <v>26450000</v>
      </c>
    </row>
    <row r="349" spans="1:7" x14ac:dyDescent="0.2">
      <c r="A349" s="1716"/>
      <c r="B349" s="1716"/>
      <c r="C349" s="1692"/>
      <c r="D349" s="1717"/>
      <c r="E349" s="1718"/>
      <c r="F349" s="1718">
        <v>6799</v>
      </c>
      <c r="G349" s="1700">
        <v>26450000</v>
      </c>
    </row>
    <row r="350" spans="1:7" x14ac:dyDescent="0.2">
      <c r="A350" s="1716"/>
      <c r="B350" s="1716"/>
      <c r="C350" s="1692"/>
      <c r="D350" s="1717"/>
      <c r="E350" s="1718">
        <v>6900</v>
      </c>
      <c r="F350" s="1718"/>
      <c r="G350" s="1700">
        <f>G351</f>
        <v>1650000</v>
      </c>
    </row>
    <row r="351" spans="1:7" x14ac:dyDescent="0.2">
      <c r="A351" s="1716"/>
      <c r="B351" s="1716"/>
      <c r="C351" s="1692"/>
      <c r="D351" s="1717"/>
      <c r="E351" s="1718"/>
      <c r="F351" s="1718">
        <v>6912</v>
      </c>
      <c r="G351" s="1700">
        <v>1650000</v>
      </c>
    </row>
    <row r="352" spans="1:7" x14ac:dyDescent="0.2">
      <c r="A352" s="1716"/>
      <c r="B352" s="1716"/>
      <c r="C352" s="1692"/>
      <c r="D352" s="1717"/>
      <c r="E352" s="1718">
        <v>7000</v>
      </c>
      <c r="F352" s="1718"/>
      <c r="G352" s="1700">
        <f>G353</f>
        <v>26350920</v>
      </c>
    </row>
    <row r="353" spans="1:7" x14ac:dyDescent="0.2">
      <c r="A353" s="1716"/>
      <c r="B353" s="1716"/>
      <c r="C353" s="1692"/>
      <c r="D353" s="1717"/>
      <c r="E353" s="1718"/>
      <c r="F353" s="1718">
        <v>7049</v>
      </c>
      <c r="G353" s="1700">
        <v>26350920</v>
      </c>
    </row>
    <row r="354" spans="1:7" x14ac:dyDescent="0.2">
      <c r="A354" s="1716"/>
      <c r="B354" s="1716"/>
      <c r="C354" s="1692"/>
      <c r="D354" s="1717"/>
      <c r="E354" s="1718">
        <v>7050</v>
      </c>
      <c r="F354" s="1718"/>
      <c r="G354" s="1700">
        <f>G355</f>
        <v>11000000</v>
      </c>
    </row>
    <row r="355" spans="1:7" x14ac:dyDescent="0.2">
      <c r="A355" s="1716"/>
      <c r="B355" s="1716"/>
      <c r="C355" s="1692"/>
      <c r="D355" s="1717"/>
      <c r="E355" s="1718"/>
      <c r="F355" s="1718">
        <v>7053</v>
      </c>
      <c r="G355" s="1700">
        <v>11000000</v>
      </c>
    </row>
    <row r="356" spans="1:7" x14ac:dyDescent="0.2">
      <c r="A356" s="1716"/>
      <c r="B356" s="1716"/>
      <c r="C356" s="1692"/>
      <c r="D356" s="1717"/>
      <c r="E356" s="1716" t="s">
        <v>1034</v>
      </c>
      <c r="F356" s="1718"/>
      <c r="G356" s="1700">
        <f>G357</f>
        <v>16960000</v>
      </c>
    </row>
    <row r="357" spans="1:7" x14ac:dyDescent="0.2">
      <c r="A357" s="1716"/>
      <c r="B357" s="1716"/>
      <c r="C357" s="1692"/>
      <c r="D357" s="1717"/>
      <c r="E357" s="1718">
        <v>7750</v>
      </c>
      <c r="F357" s="1718"/>
      <c r="G357" s="1700">
        <f>SUM(G358:G359)</f>
        <v>16960000</v>
      </c>
    </row>
    <row r="358" spans="1:7" x14ac:dyDescent="0.2">
      <c r="A358" s="1716"/>
      <c r="B358" s="1716"/>
      <c r="C358" s="1692"/>
      <c r="D358" s="1717"/>
      <c r="E358" s="1718"/>
      <c r="F358" s="1718">
        <v>7761</v>
      </c>
      <c r="G358" s="1700">
        <v>2800000</v>
      </c>
    </row>
    <row r="359" spans="1:7" x14ac:dyDescent="0.2">
      <c r="A359" s="1716"/>
      <c r="B359" s="1716"/>
      <c r="C359" s="1692"/>
      <c r="D359" s="1717"/>
      <c r="E359" s="1718"/>
      <c r="F359" s="1718">
        <v>7799</v>
      </c>
      <c r="G359" s="1700">
        <v>14160000</v>
      </c>
    </row>
    <row r="360" spans="1:7" x14ac:dyDescent="0.2">
      <c r="A360" s="1716"/>
      <c r="B360" s="1716"/>
      <c r="C360" s="1692">
        <v>171</v>
      </c>
      <c r="D360" s="1717"/>
      <c r="E360" s="1718"/>
      <c r="F360" s="1718"/>
      <c r="G360" s="1700">
        <f>G361</f>
        <v>92198888</v>
      </c>
    </row>
    <row r="361" spans="1:7" x14ac:dyDescent="0.2">
      <c r="A361" s="1716"/>
      <c r="B361" s="1716"/>
      <c r="C361" s="1692"/>
      <c r="D361" s="1717">
        <v>171</v>
      </c>
      <c r="E361" s="1718"/>
      <c r="F361" s="1718"/>
      <c r="G361" s="1700">
        <f>G362</f>
        <v>92198888</v>
      </c>
    </row>
    <row r="362" spans="1:7" x14ac:dyDescent="0.2">
      <c r="A362" s="1716"/>
      <c r="B362" s="1716"/>
      <c r="C362" s="1692"/>
      <c r="D362" s="1717"/>
      <c r="E362" s="1716" t="s">
        <v>1031</v>
      </c>
      <c r="F362" s="1718"/>
      <c r="G362" s="1700">
        <f>G363+G380</f>
        <v>92198888</v>
      </c>
    </row>
    <row r="363" spans="1:7" x14ac:dyDescent="0.2">
      <c r="A363" s="1716"/>
      <c r="B363" s="1716"/>
      <c r="C363" s="1692"/>
      <c r="D363" s="1717"/>
      <c r="E363" s="1716" t="s">
        <v>1033</v>
      </c>
      <c r="F363" s="1718"/>
      <c r="G363" s="1700">
        <f>G364+G366+G368+G372+G375+G377</f>
        <v>84698888</v>
      </c>
    </row>
    <row r="364" spans="1:7" x14ac:dyDescent="0.2">
      <c r="A364" s="1716"/>
      <c r="B364" s="1716"/>
      <c r="C364" s="1692"/>
      <c r="D364" s="1717"/>
      <c r="E364" s="1718">
        <v>6500</v>
      </c>
      <c r="F364" s="1718"/>
      <c r="G364" s="1700">
        <f>G365</f>
        <v>1032000</v>
      </c>
    </row>
    <row r="365" spans="1:7" x14ac:dyDescent="0.2">
      <c r="A365" s="1716"/>
      <c r="B365" s="1716"/>
      <c r="C365" s="1692"/>
      <c r="D365" s="1717"/>
      <c r="E365" s="1718"/>
      <c r="F365" s="1718">
        <v>6505</v>
      </c>
      <c r="G365" s="1700">
        <v>1032000</v>
      </c>
    </row>
    <row r="366" spans="1:7" x14ac:dyDescent="0.2">
      <c r="A366" s="1716"/>
      <c r="B366" s="1716"/>
      <c r="C366" s="1692"/>
      <c r="D366" s="1717"/>
      <c r="E366" s="1718">
        <v>6600</v>
      </c>
      <c r="F366" s="1718"/>
      <c r="G366" s="1700">
        <f>G367</f>
        <v>53210000</v>
      </c>
    </row>
    <row r="367" spans="1:7" x14ac:dyDescent="0.2">
      <c r="A367" s="1716"/>
      <c r="B367" s="1716"/>
      <c r="C367" s="1692"/>
      <c r="D367" s="1717"/>
      <c r="E367" s="1718"/>
      <c r="F367" s="1718">
        <v>6606</v>
      </c>
      <c r="G367" s="1700">
        <v>53210000</v>
      </c>
    </row>
    <row r="368" spans="1:7" x14ac:dyDescent="0.2">
      <c r="A368" s="1716"/>
      <c r="B368" s="1716"/>
      <c r="C368" s="1692"/>
      <c r="D368" s="1717"/>
      <c r="E368" s="1718">
        <v>6650</v>
      </c>
      <c r="F368" s="1718"/>
      <c r="G368" s="1700">
        <f>SUM(G369:G371)</f>
        <v>12966888</v>
      </c>
    </row>
    <row r="369" spans="1:7" x14ac:dyDescent="0.2">
      <c r="A369" s="1716"/>
      <c r="B369" s="1716"/>
      <c r="C369" s="1692"/>
      <c r="D369" s="1717"/>
      <c r="E369" s="1718"/>
      <c r="F369" s="1718">
        <v>6651</v>
      </c>
      <c r="G369" s="1700">
        <v>1213898</v>
      </c>
    </row>
    <row r="370" spans="1:7" x14ac:dyDescent="0.2">
      <c r="A370" s="1716"/>
      <c r="B370" s="1716"/>
      <c r="C370" s="1692"/>
      <c r="D370" s="1717"/>
      <c r="E370" s="1718"/>
      <c r="F370" s="1718">
        <v>6652</v>
      </c>
      <c r="G370" s="1700">
        <v>2000000</v>
      </c>
    </row>
    <row r="371" spans="1:7" x14ac:dyDescent="0.2">
      <c r="A371" s="1716"/>
      <c r="B371" s="1716"/>
      <c r="C371" s="1692"/>
      <c r="D371" s="1717"/>
      <c r="E371" s="1718"/>
      <c r="F371" s="1718">
        <v>6699</v>
      </c>
      <c r="G371" s="1700">
        <v>9752990</v>
      </c>
    </row>
    <row r="372" spans="1:7" x14ac:dyDescent="0.2">
      <c r="A372" s="1716"/>
      <c r="B372" s="1716"/>
      <c r="C372" s="1692"/>
      <c r="D372" s="1717"/>
      <c r="E372" s="1718">
        <v>6700</v>
      </c>
      <c r="F372" s="1718"/>
      <c r="G372" s="1700">
        <f>SUM(G373:G374)</f>
        <v>1000000</v>
      </c>
    </row>
    <row r="373" spans="1:7" x14ac:dyDescent="0.2">
      <c r="A373" s="1716"/>
      <c r="B373" s="1716"/>
      <c r="C373" s="1692"/>
      <c r="D373" s="1717"/>
      <c r="E373" s="1718"/>
      <c r="F373" s="1718">
        <v>6702</v>
      </c>
      <c r="G373" s="1700">
        <v>300000</v>
      </c>
    </row>
    <row r="374" spans="1:7" x14ac:dyDescent="0.2">
      <c r="A374" s="1716"/>
      <c r="B374" s="1716"/>
      <c r="C374" s="1692"/>
      <c r="D374" s="1717"/>
      <c r="E374" s="1718"/>
      <c r="F374" s="1718">
        <v>6703</v>
      </c>
      <c r="G374" s="1700">
        <v>700000</v>
      </c>
    </row>
    <row r="375" spans="1:7" x14ac:dyDescent="0.2">
      <c r="A375" s="1716"/>
      <c r="B375" s="1716"/>
      <c r="C375" s="1692"/>
      <c r="D375" s="1717"/>
      <c r="E375" s="1718">
        <v>6750</v>
      </c>
      <c r="F375" s="1718"/>
      <c r="G375" s="1700">
        <f>G376</f>
        <v>2100000</v>
      </c>
    </row>
    <row r="376" spans="1:7" x14ac:dyDescent="0.2">
      <c r="A376" s="1716"/>
      <c r="B376" s="1716"/>
      <c r="C376" s="1692"/>
      <c r="D376" s="1717"/>
      <c r="E376" s="1718"/>
      <c r="F376" s="1718">
        <v>6754</v>
      </c>
      <c r="G376" s="1700">
        <v>2100000</v>
      </c>
    </row>
    <row r="377" spans="1:7" x14ac:dyDescent="0.2">
      <c r="A377" s="1716"/>
      <c r="B377" s="1716"/>
      <c r="C377" s="1692"/>
      <c r="D377" s="1717"/>
      <c r="E377" s="1718">
        <v>7000</v>
      </c>
      <c r="F377" s="1718"/>
      <c r="G377" s="1700">
        <f>SUM(G378:G379)</f>
        <v>14390000</v>
      </c>
    </row>
    <row r="378" spans="1:7" x14ac:dyDescent="0.2">
      <c r="A378" s="1716"/>
      <c r="B378" s="1716"/>
      <c r="C378" s="1692"/>
      <c r="D378" s="1717"/>
      <c r="E378" s="1718"/>
      <c r="F378" s="1718">
        <v>7001</v>
      </c>
      <c r="G378" s="1700">
        <v>3990000</v>
      </c>
    </row>
    <row r="379" spans="1:7" x14ac:dyDescent="0.2">
      <c r="A379" s="1716"/>
      <c r="B379" s="1716"/>
      <c r="C379" s="1692"/>
      <c r="D379" s="1717"/>
      <c r="E379" s="1718"/>
      <c r="F379" s="1718">
        <v>7049</v>
      </c>
      <c r="G379" s="1700">
        <v>10400000</v>
      </c>
    </row>
    <row r="380" spans="1:7" x14ac:dyDescent="0.2">
      <c r="A380" s="1716"/>
      <c r="B380" s="1716"/>
      <c r="C380" s="1692"/>
      <c r="D380" s="1717"/>
      <c r="E380" s="1716" t="s">
        <v>1034</v>
      </c>
      <c r="F380" s="1718"/>
      <c r="G380" s="1700">
        <f>G381</f>
        <v>7500000</v>
      </c>
    </row>
    <row r="381" spans="1:7" x14ac:dyDescent="0.2">
      <c r="A381" s="1716"/>
      <c r="B381" s="1716"/>
      <c r="C381" s="1692"/>
      <c r="D381" s="1717"/>
      <c r="E381" s="1718">
        <v>7750</v>
      </c>
      <c r="F381" s="1718"/>
      <c r="G381" s="1700">
        <f>G382</f>
        <v>7500000</v>
      </c>
    </row>
    <row r="382" spans="1:7" x14ac:dyDescent="0.2">
      <c r="A382" s="1716"/>
      <c r="B382" s="1716"/>
      <c r="C382" s="1692"/>
      <c r="D382" s="1717"/>
      <c r="E382" s="1718"/>
      <c r="F382" s="1718">
        <v>7799</v>
      </c>
      <c r="G382" s="1700">
        <v>7500000</v>
      </c>
    </row>
    <row r="383" spans="1:7" x14ac:dyDescent="0.2">
      <c r="A383" s="1716"/>
      <c r="B383" s="1716"/>
      <c r="C383" s="1692">
        <v>191</v>
      </c>
      <c r="D383" s="1717"/>
      <c r="E383" s="1718"/>
      <c r="F383" s="1718"/>
      <c r="G383" s="1700">
        <f>G384</f>
        <v>84375793</v>
      </c>
    </row>
    <row r="384" spans="1:7" x14ac:dyDescent="0.2">
      <c r="A384" s="1716"/>
      <c r="B384" s="1716"/>
      <c r="C384" s="1692"/>
      <c r="D384" s="1717">
        <v>191</v>
      </c>
      <c r="E384" s="1718"/>
      <c r="F384" s="1718"/>
      <c r="G384" s="1700">
        <f>G385</f>
        <v>84375793</v>
      </c>
    </row>
    <row r="385" spans="1:7" x14ac:dyDescent="0.2">
      <c r="A385" s="1716"/>
      <c r="B385" s="1716"/>
      <c r="C385" s="1692"/>
      <c r="D385" s="1717"/>
      <c r="E385" s="1716" t="s">
        <v>1031</v>
      </c>
      <c r="F385" s="1718"/>
      <c r="G385" s="1700">
        <f>G386+G389</f>
        <v>84375793</v>
      </c>
    </row>
    <row r="386" spans="1:7" x14ac:dyDescent="0.2">
      <c r="A386" s="1716"/>
      <c r="B386" s="1716"/>
      <c r="C386" s="1692"/>
      <c r="D386" s="1717"/>
      <c r="E386" s="1716" t="s">
        <v>1032</v>
      </c>
      <c r="F386" s="1718"/>
      <c r="G386" s="1700">
        <f>G387</f>
        <v>12000000</v>
      </c>
    </row>
    <row r="387" spans="1:7" x14ac:dyDescent="0.2">
      <c r="A387" s="1716"/>
      <c r="B387" s="1716"/>
      <c r="C387" s="1692"/>
      <c r="D387" s="1717"/>
      <c r="E387" s="1718">
        <v>6350</v>
      </c>
      <c r="F387" s="1718"/>
      <c r="G387" s="1700">
        <f>G388</f>
        <v>12000000</v>
      </c>
    </row>
    <row r="388" spans="1:7" x14ac:dyDescent="0.2">
      <c r="A388" s="1716"/>
      <c r="B388" s="1716"/>
      <c r="C388" s="1692"/>
      <c r="D388" s="1717"/>
      <c r="E388" s="1718"/>
      <c r="F388" s="1718">
        <v>6353</v>
      </c>
      <c r="G388" s="1700">
        <v>12000000</v>
      </c>
    </row>
    <row r="389" spans="1:7" x14ac:dyDescent="0.2">
      <c r="A389" s="1716"/>
      <c r="B389" s="1716"/>
      <c r="C389" s="1692"/>
      <c r="D389" s="1717"/>
      <c r="E389" s="1716" t="s">
        <v>1033</v>
      </c>
      <c r="F389" s="1718"/>
      <c r="G389" s="1700">
        <f>G390+G392+G395+G397</f>
        <v>72375793</v>
      </c>
    </row>
    <row r="390" spans="1:7" x14ac:dyDescent="0.2">
      <c r="A390" s="1716"/>
      <c r="B390" s="1716"/>
      <c r="C390" s="1692"/>
      <c r="D390" s="1717"/>
      <c r="E390" s="1718">
        <v>6500</v>
      </c>
      <c r="F390" s="1718"/>
      <c r="G390" s="1700">
        <f>G391</f>
        <v>2607807</v>
      </c>
    </row>
    <row r="391" spans="1:7" x14ac:dyDescent="0.2">
      <c r="A391" s="1716"/>
      <c r="B391" s="1716"/>
      <c r="C391" s="1692"/>
      <c r="D391" s="1717"/>
      <c r="E391" s="1718"/>
      <c r="F391" s="1718">
        <v>6501</v>
      </c>
      <c r="G391" s="1700">
        <v>2607807</v>
      </c>
    </row>
    <row r="392" spans="1:7" x14ac:dyDescent="0.2">
      <c r="A392" s="1716"/>
      <c r="B392" s="1716"/>
      <c r="C392" s="1692"/>
      <c r="D392" s="1717"/>
      <c r="E392" s="1718">
        <v>6600</v>
      </c>
      <c r="F392" s="1718"/>
      <c r="G392" s="1700">
        <f>SUM(G393:G394)</f>
        <v>8022986</v>
      </c>
    </row>
    <row r="393" spans="1:7" x14ac:dyDescent="0.2">
      <c r="A393" s="1716"/>
      <c r="B393" s="1716"/>
      <c r="C393" s="1692"/>
      <c r="D393" s="1717"/>
      <c r="E393" s="1718"/>
      <c r="F393" s="1718">
        <v>6601</v>
      </c>
      <c r="G393" s="1700">
        <v>4332986</v>
      </c>
    </row>
    <row r="394" spans="1:7" x14ac:dyDescent="0.2">
      <c r="A394" s="1716"/>
      <c r="B394" s="1716"/>
      <c r="C394" s="1692"/>
      <c r="D394" s="1717"/>
      <c r="E394" s="1718"/>
      <c r="F394" s="1718">
        <v>6649</v>
      </c>
      <c r="G394" s="1700">
        <v>3690000</v>
      </c>
    </row>
    <row r="395" spans="1:7" x14ac:dyDescent="0.2">
      <c r="A395" s="1716"/>
      <c r="B395" s="1716"/>
      <c r="C395" s="1692"/>
      <c r="D395" s="1717"/>
      <c r="E395" s="1718">
        <v>6900</v>
      </c>
      <c r="F395" s="1718"/>
      <c r="G395" s="1700">
        <f>G396</f>
        <v>34745000</v>
      </c>
    </row>
    <row r="396" spans="1:7" x14ac:dyDescent="0.2">
      <c r="A396" s="1716"/>
      <c r="B396" s="1716"/>
      <c r="C396" s="1692"/>
      <c r="D396" s="1717"/>
      <c r="E396" s="1718"/>
      <c r="F396" s="1718">
        <v>6913</v>
      </c>
      <c r="G396" s="1700">
        <v>34745000</v>
      </c>
    </row>
    <row r="397" spans="1:7" x14ac:dyDescent="0.2">
      <c r="A397" s="1716"/>
      <c r="B397" s="1716"/>
      <c r="C397" s="1692"/>
      <c r="D397" s="1717"/>
      <c r="E397" s="1718">
        <v>7000</v>
      </c>
      <c r="F397" s="1718"/>
      <c r="G397" s="1700">
        <f>G398</f>
        <v>27000000</v>
      </c>
    </row>
    <row r="398" spans="1:7" x14ac:dyDescent="0.2">
      <c r="A398" s="1716"/>
      <c r="B398" s="1716"/>
      <c r="C398" s="1692"/>
      <c r="D398" s="1717"/>
      <c r="E398" s="1718"/>
      <c r="F398" s="1718">
        <v>7049</v>
      </c>
      <c r="G398" s="1700">
        <v>27000000</v>
      </c>
    </row>
    <row r="399" spans="1:7" x14ac:dyDescent="0.2">
      <c r="A399" s="1716"/>
      <c r="B399" s="1716"/>
      <c r="C399" s="1692">
        <v>221</v>
      </c>
      <c r="D399" s="1717"/>
      <c r="E399" s="1718"/>
      <c r="F399" s="1718"/>
      <c r="G399" s="1700">
        <f>G400</f>
        <v>307750000</v>
      </c>
    </row>
    <row r="400" spans="1:7" x14ac:dyDescent="0.2">
      <c r="A400" s="1716"/>
      <c r="B400" s="1716"/>
      <c r="C400" s="1692"/>
      <c r="D400" s="1717">
        <v>221</v>
      </c>
      <c r="E400" s="1718"/>
      <c r="F400" s="1718"/>
      <c r="G400" s="1700">
        <f>G401</f>
        <v>307750000</v>
      </c>
    </row>
    <row r="401" spans="1:7" x14ac:dyDescent="0.2">
      <c r="A401" s="1716"/>
      <c r="B401" s="1716"/>
      <c r="C401" s="1692"/>
      <c r="D401" s="1717"/>
      <c r="E401" s="1716" t="s">
        <v>1031</v>
      </c>
      <c r="F401" s="1718"/>
      <c r="G401" s="1700">
        <f>G402+G409</f>
        <v>307750000</v>
      </c>
    </row>
    <row r="402" spans="1:7" x14ac:dyDescent="0.2">
      <c r="A402" s="1716"/>
      <c r="B402" s="1716"/>
      <c r="C402" s="1692"/>
      <c r="D402" s="1717"/>
      <c r="E402" s="1716" t="s">
        <v>1033</v>
      </c>
      <c r="F402" s="1718"/>
      <c r="G402" s="1700">
        <f>+G403+G406</f>
        <v>93706800</v>
      </c>
    </row>
    <row r="403" spans="1:7" x14ac:dyDescent="0.2">
      <c r="A403" s="1716"/>
      <c r="B403" s="1716"/>
      <c r="C403" s="1692"/>
      <c r="D403" s="1717"/>
      <c r="E403" s="1718">
        <v>6750</v>
      </c>
      <c r="F403" s="1718"/>
      <c r="G403" s="1700">
        <f>SUM(G404:G405)</f>
        <v>37971800</v>
      </c>
    </row>
    <row r="404" spans="1:7" x14ac:dyDescent="0.2">
      <c r="A404" s="1716"/>
      <c r="B404" s="1716"/>
      <c r="C404" s="1692"/>
      <c r="D404" s="1717"/>
      <c r="E404" s="1718"/>
      <c r="F404" s="1718">
        <v>6751</v>
      </c>
      <c r="G404" s="1700">
        <v>24771800</v>
      </c>
    </row>
    <row r="405" spans="1:7" x14ac:dyDescent="0.2">
      <c r="A405" s="1716"/>
      <c r="B405" s="1716"/>
      <c r="C405" s="1692"/>
      <c r="D405" s="1717"/>
      <c r="E405" s="1718"/>
      <c r="F405" s="1718">
        <v>6799</v>
      </c>
      <c r="G405" s="1700">
        <v>13200000</v>
      </c>
    </row>
    <row r="406" spans="1:7" x14ac:dyDescent="0.2">
      <c r="A406" s="1716"/>
      <c r="B406" s="1716"/>
      <c r="C406" s="1692"/>
      <c r="D406" s="1717"/>
      <c r="E406" s="1718">
        <v>7000</v>
      </c>
      <c r="F406" s="1718"/>
      <c r="G406" s="1700">
        <f>SUM(G407:G408)</f>
        <v>55735000</v>
      </c>
    </row>
    <row r="407" spans="1:7" x14ac:dyDescent="0.2">
      <c r="A407" s="1716"/>
      <c r="B407" s="1716"/>
      <c r="C407" s="1692"/>
      <c r="D407" s="1717"/>
      <c r="E407" s="1718"/>
      <c r="F407" s="1718">
        <v>7004</v>
      </c>
      <c r="G407" s="1700">
        <v>37620000</v>
      </c>
    </row>
    <row r="408" spans="1:7" x14ac:dyDescent="0.2">
      <c r="A408" s="1716"/>
      <c r="B408" s="1716"/>
      <c r="C408" s="1692"/>
      <c r="D408" s="1717"/>
      <c r="E408" s="1718"/>
      <c r="F408" s="1718">
        <v>7049</v>
      </c>
      <c r="G408" s="1700">
        <v>18115000</v>
      </c>
    </row>
    <row r="409" spans="1:7" x14ac:dyDescent="0.2">
      <c r="A409" s="1716"/>
      <c r="B409" s="1716"/>
      <c r="C409" s="1692"/>
      <c r="D409" s="1717"/>
      <c r="E409" s="1716" t="s">
        <v>1034</v>
      </c>
      <c r="F409" s="1718"/>
      <c r="G409" s="1700">
        <f>G410</f>
        <v>214043200</v>
      </c>
    </row>
    <row r="410" spans="1:7" x14ac:dyDescent="0.2">
      <c r="A410" s="1716"/>
      <c r="B410" s="1716"/>
      <c r="C410" s="1692"/>
      <c r="D410" s="1717"/>
      <c r="E410" s="1718">
        <v>7750</v>
      </c>
      <c r="F410" s="1718"/>
      <c r="G410" s="1700">
        <f>G411</f>
        <v>214043200</v>
      </c>
    </row>
    <row r="411" spans="1:7" x14ac:dyDescent="0.2">
      <c r="A411" s="1716"/>
      <c r="B411" s="1716"/>
      <c r="C411" s="1692"/>
      <c r="D411" s="1717"/>
      <c r="E411" s="1718"/>
      <c r="F411" s="1718">
        <v>7799</v>
      </c>
      <c r="G411" s="1700">
        <v>214043200</v>
      </c>
    </row>
    <row r="412" spans="1:7" x14ac:dyDescent="0.2">
      <c r="A412" s="1716"/>
      <c r="B412" s="1716"/>
      <c r="C412" s="1692">
        <v>282</v>
      </c>
      <c r="D412" s="1717"/>
      <c r="E412" s="1718"/>
      <c r="F412" s="1718"/>
      <c r="G412" s="1700">
        <f>G413</f>
        <v>111053700</v>
      </c>
    </row>
    <row r="413" spans="1:7" x14ac:dyDescent="0.2">
      <c r="A413" s="1716"/>
      <c r="B413" s="1716"/>
      <c r="C413" s="1692"/>
      <c r="D413" s="1717">
        <v>282</v>
      </c>
      <c r="E413" s="1718"/>
      <c r="F413" s="1718"/>
      <c r="G413" s="1700">
        <f>G414</f>
        <v>111053700</v>
      </c>
    </row>
    <row r="414" spans="1:7" x14ac:dyDescent="0.2">
      <c r="A414" s="1716"/>
      <c r="B414" s="1716"/>
      <c r="C414" s="1692"/>
      <c r="D414" s="1717"/>
      <c r="E414" s="1716" t="s">
        <v>1031</v>
      </c>
      <c r="F414" s="1718"/>
      <c r="G414" s="1700">
        <f>G415</f>
        <v>111053700</v>
      </c>
    </row>
    <row r="415" spans="1:7" x14ac:dyDescent="0.2">
      <c r="A415" s="1716"/>
      <c r="B415" s="1716"/>
      <c r="C415" s="1692"/>
      <c r="D415" s="1717"/>
      <c r="E415" s="1716" t="s">
        <v>1034</v>
      </c>
      <c r="F415" s="1718"/>
      <c r="G415" s="1700">
        <f>G416</f>
        <v>111053700</v>
      </c>
    </row>
    <row r="416" spans="1:7" x14ac:dyDescent="0.2">
      <c r="A416" s="1716"/>
      <c r="B416" s="1716"/>
      <c r="C416" s="1692"/>
      <c r="D416" s="1717"/>
      <c r="E416" s="1718">
        <v>7750</v>
      </c>
      <c r="F416" s="1718"/>
      <c r="G416" s="1700">
        <f>G417</f>
        <v>111053700</v>
      </c>
    </row>
    <row r="417" spans="1:7" x14ac:dyDescent="0.2">
      <c r="A417" s="1716"/>
      <c r="B417" s="1716"/>
      <c r="C417" s="1692"/>
      <c r="D417" s="1717"/>
      <c r="E417" s="1718"/>
      <c r="F417" s="1718">
        <v>7799</v>
      </c>
      <c r="G417" s="1700">
        <v>111053700</v>
      </c>
    </row>
    <row r="418" spans="1:7" x14ac:dyDescent="0.2">
      <c r="A418" s="1716"/>
      <c r="B418" s="1716"/>
      <c r="C418" s="1692">
        <v>283</v>
      </c>
      <c r="D418" s="1717"/>
      <c r="E418" s="1718"/>
      <c r="F418" s="1718"/>
      <c r="G418" s="1700">
        <f>G419</f>
        <v>443433119</v>
      </c>
    </row>
    <row r="419" spans="1:7" x14ac:dyDescent="0.2">
      <c r="A419" s="1716"/>
      <c r="B419" s="1716"/>
      <c r="C419" s="1692"/>
      <c r="D419" s="1717">
        <v>283</v>
      </c>
      <c r="E419" s="1718"/>
      <c r="F419" s="1718"/>
      <c r="G419" s="1700">
        <f>G420</f>
        <v>443433119</v>
      </c>
    </row>
    <row r="420" spans="1:7" x14ac:dyDescent="0.2">
      <c r="A420" s="1716"/>
      <c r="B420" s="1716"/>
      <c r="C420" s="1692"/>
      <c r="D420" s="1717"/>
      <c r="E420" s="1716" t="s">
        <v>1031</v>
      </c>
      <c r="F420" s="1718"/>
      <c r="G420" s="1700">
        <f>G421</f>
        <v>443433119</v>
      </c>
    </row>
    <row r="421" spans="1:7" x14ac:dyDescent="0.2">
      <c r="A421" s="1716"/>
      <c r="B421" s="1716"/>
      <c r="C421" s="1692"/>
      <c r="D421" s="1717"/>
      <c r="E421" s="1716" t="s">
        <v>1033</v>
      </c>
      <c r="F421" s="1718"/>
      <c r="G421" s="1700">
        <f>G422</f>
        <v>443433119</v>
      </c>
    </row>
    <row r="422" spans="1:7" x14ac:dyDescent="0.2">
      <c r="A422" s="1716"/>
      <c r="B422" s="1716"/>
      <c r="C422" s="1692"/>
      <c r="D422" s="1717"/>
      <c r="E422" s="1718">
        <v>6900</v>
      </c>
      <c r="F422" s="1718"/>
      <c r="G422" s="1700">
        <f>G423</f>
        <v>443433119</v>
      </c>
    </row>
    <row r="423" spans="1:7" x14ac:dyDescent="0.2">
      <c r="A423" s="1716"/>
      <c r="B423" s="1716"/>
      <c r="C423" s="1692"/>
      <c r="D423" s="1717"/>
      <c r="E423" s="1718"/>
      <c r="F423" s="1718">
        <v>6923</v>
      </c>
      <c r="G423" s="1700">
        <v>443433119</v>
      </c>
    </row>
    <row r="424" spans="1:7" x14ac:dyDescent="0.2">
      <c r="A424" s="1716"/>
      <c r="B424" s="1716"/>
      <c r="C424" s="1692">
        <v>292</v>
      </c>
      <c r="D424" s="1717"/>
      <c r="E424" s="1718"/>
      <c r="F424" s="1718"/>
      <c r="G424" s="1700">
        <f>G425</f>
        <v>715781895</v>
      </c>
    </row>
    <row r="425" spans="1:7" x14ac:dyDescent="0.2">
      <c r="A425" s="1716"/>
      <c r="B425" s="1716"/>
      <c r="C425" s="1692"/>
      <c r="D425" s="1717">
        <v>292</v>
      </c>
      <c r="E425" s="1718"/>
      <c r="F425" s="1718"/>
      <c r="G425" s="1700">
        <f>G426</f>
        <v>715781895</v>
      </c>
    </row>
    <row r="426" spans="1:7" x14ac:dyDescent="0.2">
      <c r="A426" s="1716"/>
      <c r="B426" s="1716"/>
      <c r="C426" s="1692"/>
      <c r="D426" s="1717"/>
      <c r="E426" s="1716" t="s">
        <v>1037</v>
      </c>
      <c r="F426" s="1718"/>
      <c r="G426" s="1700">
        <f>G427</f>
        <v>715781895</v>
      </c>
    </row>
    <row r="427" spans="1:7" x14ac:dyDescent="0.2">
      <c r="A427" s="1716"/>
      <c r="B427" s="1716"/>
      <c r="C427" s="1692"/>
      <c r="D427" s="1717"/>
      <c r="E427" s="1716" t="s">
        <v>1038</v>
      </c>
      <c r="F427" s="1718"/>
      <c r="G427" s="1700">
        <f>G428+G430</f>
        <v>715781895</v>
      </c>
    </row>
    <row r="428" spans="1:7" x14ac:dyDescent="0.2">
      <c r="A428" s="1716"/>
      <c r="B428" s="1716"/>
      <c r="C428" s="1692"/>
      <c r="D428" s="1717"/>
      <c r="E428" s="1718">
        <v>9300</v>
      </c>
      <c r="F428" s="1718"/>
      <c r="G428" s="1700">
        <f>G429</f>
        <v>590744895</v>
      </c>
    </row>
    <row r="429" spans="1:7" x14ac:dyDescent="0.2">
      <c r="A429" s="1716"/>
      <c r="B429" s="1716"/>
      <c r="C429" s="1692"/>
      <c r="D429" s="1717"/>
      <c r="E429" s="1718"/>
      <c r="F429" s="1718">
        <v>9301</v>
      </c>
      <c r="G429" s="1700">
        <v>590744895</v>
      </c>
    </row>
    <row r="430" spans="1:7" x14ac:dyDescent="0.2">
      <c r="A430" s="1716"/>
      <c r="B430" s="1716"/>
      <c r="C430" s="1692"/>
      <c r="D430" s="1717"/>
      <c r="E430" s="1718">
        <v>9400</v>
      </c>
      <c r="F430" s="1718"/>
      <c r="G430" s="1700">
        <f>SUM(G431:G432)</f>
        <v>125037000</v>
      </c>
    </row>
    <row r="431" spans="1:7" x14ac:dyDescent="0.2">
      <c r="A431" s="1716"/>
      <c r="B431" s="1716"/>
      <c r="C431" s="1692"/>
      <c r="D431" s="1717"/>
      <c r="E431" s="1718"/>
      <c r="F431" s="1718">
        <v>9402</v>
      </c>
      <c r="G431" s="1700">
        <v>92404000</v>
      </c>
    </row>
    <row r="432" spans="1:7" x14ac:dyDescent="0.2">
      <c r="A432" s="1716"/>
      <c r="B432" s="1716"/>
      <c r="C432" s="1692"/>
      <c r="D432" s="1717"/>
      <c r="E432" s="1718"/>
      <c r="F432" s="1718">
        <v>9449</v>
      </c>
      <c r="G432" s="1700">
        <v>32633000</v>
      </c>
    </row>
    <row r="433" spans="1:7" x14ac:dyDescent="0.2">
      <c r="A433" s="1716"/>
      <c r="B433" s="1716"/>
      <c r="C433" s="1692">
        <v>309</v>
      </c>
      <c r="D433" s="1717"/>
      <c r="E433" s="1718"/>
      <c r="F433" s="1718"/>
      <c r="G433" s="1700">
        <f>G434</f>
        <v>47386716</v>
      </c>
    </row>
    <row r="434" spans="1:7" x14ac:dyDescent="0.2">
      <c r="A434" s="1716"/>
      <c r="B434" s="1716"/>
      <c r="C434" s="1692"/>
      <c r="D434" s="1717">
        <v>309</v>
      </c>
      <c r="E434" s="1718"/>
      <c r="F434" s="1718"/>
      <c r="G434" s="1700">
        <f>G435</f>
        <v>47386716</v>
      </c>
    </row>
    <row r="435" spans="1:7" x14ac:dyDescent="0.2">
      <c r="A435" s="1716"/>
      <c r="B435" s="1716"/>
      <c r="C435" s="1692"/>
      <c r="D435" s="1717"/>
      <c r="E435" s="1716" t="s">
        <v>1037</v>
      </c>
      <c r="F435" s="1718"/>
      <c r="G435" s="1700">
        <f>G436</f>
        <v>47386716</v>
      </c>
    </row>
    <row r="436" spans="1:7" x14ac:dyDescent="0.2">
      <c r="A436" s="1716"/>
      <c r="B436" s="1716"/>
      <c r="C436" s="1692"/>
      <c r="D436" s="1717"/>
      <c r="E436" s="1716" t="s">
        <v>1038</v>
      </c>
      <c r="F436" s="1718"/>
      <c r="G436" s="1700">
        <f>G437</f>
        <v>47386716</v>
      </c>
    </row>
    <row r="437" spans="1:7" x14ac:dyDescent="0.2">
      <c r="A437" s="1716"/>
      <c r="B437" s="1716"/>
      <c r="C437" s="1692"/>
      <c r="D437" s="1717"/>
      <c r="E437" s="1718">
        <v>9250</v>
      </c>
      <c r="F437" s="1718"/>
      <c r="G437" s="1700">
        <f>G438</f>
        <v>47386716</v>
      </c>
    </row>
    <row r="438" spans="1:7" x14ac:dyDescent="0.2">
      <c r="A438" s="1716"/>
      <c r="B438" s="1716"/>
      <c r="C438" s="1692"/>
      <c r="D438" s="1717"/>
      <c r="E438" s="1718"/>
      <c r="F438" s="1718">
        <v>9253</v>
      </c>
      <c r="G438" s="1700">
        <v>47386716</v>
      </c>
    </row>
    <row r="439" spans="1:7" x14ac:dyDescent="0.2">
      <c r="A439" s="1716"/>
      <c r="B439" s="1716"/>
      <c r="C439" s="1692">
        <v>312</v>
      </c>
      <c r="D439" s="1717"/>
      <c r="E439" s="1718"/>
      <c r="F439" s="1718"/>
      <c r="G439" s="1700">
        <f>G440</f>
        <v>309450785</v>
      </c>
    </row>
    <row r="440" spans="1:7" x14ac:dyDescent="0.2">
      <c r="A440" s="1716"/>
      <c r="B440" s="1716"/>
      <c r="C440" s="1692"/>
      <c r="D440" s="1717">
        <v>312</v>
      </c>
      <c r="E440" s="1718"/>
      <c r="F440" s="1718"/>
      <c r="G440" s="1700">
        <f>G441</f>
        <v>309450785</v>
      </c>
    </row>
    <row r="441" spans="1:7" x14ac:dyDescent="0.2">
      <c r="A441" s="1716"/>
      <c r="B441" s="1716"/>
      <c r="C441" s="1692"/>
      <c r="D441" s="1717"/>
      <c r="E441" s="1716" t="s">
        <v>1031</v>
      </c>
      <c r="F441" s="1718"/>
      <c r="G441" s="1700">
        <f>G442</f>
        <v>309450785</v>
      </c>
    </row>
    <row r="442" spans="1:7" x14ac:dyDescent="0.2">
      <c r="A442" s="1716"/>
      <c r="B442" s="1716"/>
      <c r="C442" s="1692"/>
      <c r="D442" s="1717"/>
      <c r="E442" s="1716" t="s">
        <v>1033</v>
      </c>
      <c r="F442" s="1718"/>
      <c r="G442" s="1700">
        <f>G443+G445+G447+G450</f>
        <v>309450785</v>
      </c>
    </row>
    <row r="443" spans="1:7" x14ac:dyDescent="0.2">
      <c r="A443" s="1716"/>
      <c r="B443" s="1716"/>
      <c r="C443" s="1692"/>
      <c r="D443" s="1717"/>
      <c r="E443" s="1718">
        <v>6500</v>
      </c>
      <c r="F443" s="1718"/>
      <c r="G443" s="1700">
        <f>G444</f>
        <v>11493907</v>
      </c>
    </row>
    <row r="444" spans="1:7" x14ac:dyDescent="0.2">
      <c r="A444" s="1716"/>
      <c r="B444" s="1716"/>
      <c r="C444" s="1692"/>
      <c r="D444" s="1717"/>
      <c r="E444" s="1718"/>
      <c r="F444" s="1718">
        <v>6501</v>
      </c>
      <c r="G444" s="1700">
        <v>11493907</v>
      </c>
    </row>
    <row r="445" spans="1:7" x14ac:dyDescent="0.2">
      <c r="A445" s="1716"/>
      <c r="B445" s="1716"/>
      <c r="C445" s="1692"/>
      <c r="D445" s="1717"/>
      <c r="E445" s="1718">
        <v>6650</v>
      </c>
      <c r="F445" s="1718"/>
      <c r="G445" s="1700">
        <f>G446</f>
        <v>800000</v>
      </c>
    </row>
    <row r="446" spans="1:7" x14ac:dyDescent="0.2">
      <c r="A446" s="1716"/>
      <c r="B446" s="1716"/>
      <c r="C446" s="1692"/>
      <c r="D446" s="1717"/>
      <c r="E446" s="1718"/>
      <c r="F446" s="1718">
        <v>6699</v>
      </c>
      <c r="G446" s="1700">
        <v>800000</v>
      </c>
    </row>
    <row r="447" spans="1:7" x14ac:dyDescent="0.2">
      <c r="A447" s="1716"/>
      <c r="B447" s="1716"/>
      <c r="C447" s="1692"/>
      <c r="D447" s="1717"/>
      <c r="E447" s="1718">
        <v>6900</v>
      </c>
      <c r="F447" s="1718"/>
      <c r="G447" s="1700">
        <f>SUM(G448:G449)</f>
        <v>293106878</v>
      </c>
    </row>
    <row r="448" spans="1:7" x14ac:dyDescent="0.2">
      <c r="A448" s="1716"/>
      <c r="B448" s="1716"/>
      <c r="C448" s="1692"/>
      <c r="D448" s="1717"/>
      <c r="E448" s="1718"/>
      <c r="F448" s="1718">
        <v>6922</v>
      </c>
      <c r="G448" s="1700">
        <v>193106878</v>
      </c>
    </row>
    <row r="449" spans="1:7" x14ac:dyDescent="0.2">
      <c r="A449" s="1716"/>
      <c r="B449" s="1716"/>
      <c r="C449" s="1692"/>
      <c r="D449" s="1717"/>
      <c r="E449" s="1718"/>
      <c r="F449" s="1718">
        <v>6949</v>
      </c>
      <c r="G449" s="1700">
        <v>100000000</v>
      </c>
    </row>
    <row r="450" spans="1:7" x14ac:dyDescent="0.2">
      <c r="A450" s="1716"/>
      <c r="B450" s="1716"/>
      <c r="C450" s="1692"/>
      <c r="D450" s="1717"/>
      <c r="E450" s="1718">
        <v>7000</v>
      </c>
      <c r="F450" s="1718"/>
      <c r="G450" s="1700">
        <f>G451</f>
        <v>4050000</v>
      </c>
    </row>
    <row r="451" spans="1:7" x14ac:dyDescent="0.2">
      <c r="A451" s="1716"/>
      <c r="B451" s="1716"/>
      <c r="C451" s="1692"/>
      <c r="D451" s="1717"/>
      <c r="E451" s="1718"/>
      <c r="F451" s="1718">
        <v>7049</v>
      </c>
      <c r="G451" s="1700">
        <v>4050000</v>
      </c>
    </row>
    <row r="452" spans="1:7" x14ac:dyDescent="0.2">
      <c r="A452" s="1716"/>
      <c r="B452" s="1716"/>
      <c r="C452" s="1692">
        <v>332</v>
      </c>
      <c r="D452" s="1717"/>
      <c r="E452" s="1718"/>
      <c r="F452" s="1718"/>
      <c r="G452" s="1700">
        <f>G453</f>
        <v>2776249000</v>
      </c>
    </row>
    <row r="453" spans="1:7" x14ac:dyDescent="0.2">
      <c r="A453" s="1716"/>
      <c r="B453" s="1716"/>
      <c r="C453" s="1692"/>
      <c r="D453" s="1717">
        <v>332</v>
      </c>
      <c r="E453" s="1718"/>
      <c r="F453" s="1718"/>
      <c r="G453" s="1700">
        <f>G454+G458</f>
        <v>2776249000</v>
      </c>
    </row>
    <row r="454" spans="1:7" x14ac:dyDescent="0.2">
      <c r="A454" s="1716"/>
      <c r="B454" s="1716"/>
      <c r="C454" s="1692"/>
      <c r="D454" s="1717"/>
      <c r="E454" s="1716" t="s">
        <v>1031</v>
      </c>
      <c r="F454" s="1718"/>
      <c r="G454" s="1700">
        <f>G455</f>
        <v>370349000</v>
      </c>
    </row>
    <row r="455" spans="1:7" x14ac:dyDescent="0.2">
      <c r="A455" s="1716"/>
      <c r="B455" s="1716"/>
      <c r="C455" s="1692"/>
      <c r="D455" s="1717"/>
      <c r="E455" s="1716" t="s">
        <v>1033</v>
      </c>
      <c r="F455" s="1718"/>
      <c r="G455" s="1700">
        <f>G456</f>
        <v>370349000</v>
      </c>
    </row>
    <row r="456" spans="1:7" x14ac:dyDescent="0.2">
      <c r="A456" s="1716"/>
      <c r="B456" s="1716"/>
      <c r="C456" s="1692"/>
      <c r="D456" s="1717"/>
      <c r="E456" s="1718">
        <v>7000</v>
      </c>
      <c r="F456" s="1718"/>
      <c r="G456" s="1700">
        <f>G457</f>
        <v>370349000</v>
      </c>
    </row>
    <row r="457" spans="1:7" x14ac:dyDescent="0.2">
      <c r="A457" s="1716"/>
      <c r="B457" s="1716"/>
      <c r="C457" s="1692"/>
      <c r="D457" s="1717"/>
      <c r="E457" s="1718"/>
      <c r="F457" s="1718">
        <v>7049</v>
      </c>
      <c r="G457" s="1700">
        <v>370349000</v>
      </c>
    </row>
    <row r="458" spans="1:7" x14ac:dyDescent="0.2">
      <c r="A458" s="1716"/>
      <c r="B458" s="1716"/>
      <c r="C458" s="1692"/>
      <c r="D458" s="1717"/>
      <c r="E458" s="1716" t="s">
        <v>1037</v>
      </c>
      <c r="F458" s="1718"/>
      <c r="G458" s="1700">
        <f>G459</f>
        <v>2405900000</v>
      </c>
    </row>
    <row r="459" spans="1:7" x14ac:dyDescent="0.2">
      <c r="A459" s="1716"/>
      <c r="B459" s="1716"/>
      <c r="C459" s="1692"/>
      <c r="D459" s="1717"/>
      <c r="E459" s="1716" t="s">
        <v>1038</v>
      </c>
      <c r="F459" s="1718"/>
      <c r="G459" s="1700">
        <f>G460</f>
        <v>2405900000</v>
      </c>
    </row>
    <row r="460" spans="1:7" x14ac:dyDescent="0.2">
      <c r="A460" s="1716"/>
      <c r="B460" s="1716"/>
      <c r="C460" s="1692"/>
      <c r="D460" s="1717"/>
      <c r="E460" s="1718">
        <v>9400</v>
      </c>
      <c r="F460" s="1718"/>
      <c r="G460" s="1700">
        <f>SUM(G461:G462)</f>
        <v>2405900000</v>
      </c>
    </row>
    <row r="461" spans="1:7" x14ac:dyDescent="0.2">
      <c r="A461" s="1716"/>
      <c r="B461" s="1716"/>
      <c r="C461" s="1692"/>
      <c r="D461" s="1717"/>
      <c r="E461" s="1718"/>
      <c r="F461" s="1718">
        <v>9402</v>
      </c>
      <c r="G461" s="1700">
        <v>2405400000</v>
      </c>
    </row>
    <row r="462" spans="1:7" x14ac:dyDescent="0.2">
      <c r="A462" s="1716"/>
      <c r="B462" s="1716"/>
      <c r="C462" s="1692"/>
      <c r="D462" s="1717"/>
      <c r="E462" s="1718"/>
      <c r="F462" s="1718">
        <v>9449</v>
      </c>
      <c r="G462" s="1700">
        <v>500000</v>
      </c>
    </row>
    <row r="463" spans="1:7" x14ac:dyDescent="0.2">
      <c r="A463" s="1716"/>
      <c r="B463" s="1716"/>
      <c r="C463" s="1692">
        <v>338</v>
      </c>
      <c r="D463" s="1717"/>
      <c r="E463" s="1718"/>
      <c r="F463" s="1718"/>
      <c r="G463" s="1700">
        <f>G464</f>
        <v>3199631803</v>
      </c>
    </row>
    <row r="464" spans="1:7" x14ac:dyDescent="0.2">
      <c r="A464" s="1716"/>
      <c r="B464" s="1716"/>
      <c r="C464" s="1692"/>
      <c r="D464" s="1717">
        <v>338</v>
      </c>
      <c r="E464" s="1718"/>
      <c r="F464" s="1718"/>
      <c r="G464" s="1700">
        <f>G465+G475</f>
        <v>3199631803</v>
      </c>
    </row>
    <row r="465" spans="1:7" x14ac:dyDescent="0.2">
      <c r="A465" s="1716"/>
      <c r="B465" s="1716"/>
      <c r="C465" s="1692"/>
      <c r="D465" s="1717"/>
      <c r="E465" s="1716" t="s">
        <v>1031</v>
      </c>
      <c r="F465" s="1718"/>
      <c r="G465" s="1700">
        <f>G466+G472</f>
        <v>1717631803</v>
      </c>
    </row>
    <row r="466" spans="1:7" x14ac:dyDescent="0.2">
      <c r="A466" s="1716"/>
      <c r="B466" s="1716"/>
      <c r="C466" s="1692"/>
      <c r="D466" s="1717"/>
      <c r="E466" s="1716" t="s">
        <v>1033</v>
      </c>
      <c r="F466" s="1718"/>
      <c r="G466" s="1700">
        <f>G467+G470</f>
        <v>1569211803</v>
      </c>
    </row>
    <row r="467" spans="1:7" x14ac:dyDescent="0.2">
      <c r="A467" s="1716"/>
      <c r="B467" s="1716"/>
      <c r="C467" s="1692"/>
      <c r="D467" s="1717"/>
      <c r="E467" s="1718">
        <v>6900</v>
      </c>
      <c r="F467" s="1718"/>
      <c r="G467" s="1700">
        <f>SUM(G468:G469)</f>
        <v>1522269603</v>
      </c>
    </row>
    <row r="468" spans="1:7" x14ac:dyDescent="0.2">
      <c r="A468" s="1716"/>
      <c r="B468" s="1716"/>
      <c r="C468" s="1692"/>
      <c r="D468" s="1717"/>
      <c r="E468" s="1718"/>
      <c r="F468" s="1718">
        <v>6907</v>
      </c>
      <c r="G468" s="1700">
        <v>1098000000</v>
      </c>
    </row>
    <row r="469" spans="1:7" x14ac:dyDescent="0.2">
      <c r="A469" s="1716"/>
      <c r="B469" s="1716"/>
      <c r="C469" s="1692"/>
      <c r="D469" s="1717"/>
      <c r="E469" s="1718"/>
      <c r="F469" s="1718">
        <v>6922</v>
      </c>
      <c r="G469" s="1700">
        <v>424269603</v>
      </c>
    </row>
    <row r="470" spans="1:7" x14ac:dyDescent="0.2">
      <c r="A470" s="1716"/>
      <c r="B470" s="1716"/>
      <c r="C470" s="1692"/>
      <c r="D470" s="1717"/>
      <c r="E470" s="1718">
        <v>6950</v>
      </c>
      <c r="F470" s="1718"/>
      <c r="G470" s="1700">
        <f>G471</f>
        <v>46942200</v>
      </c>
    </row>
    <row r="471" spans="1:7" x14ac:dyDescent="0.2">
      <c r="A471" s="1716"/>
      <c r="B471" s="1716"/>
      <c r="C471" s="1692"/>
      <c r="D471" s="1717"/>
      <c r="E471" s="1718"/>
      <c r="F471" s="1718">
        <v>6999</v>
      </c>
      <c r="G471" s="1700">
        <v>46942200</v>
      </c>
    </row>
    <row r="472" spans="1:7" x14ac:dyDescent="0.2">
      <c r="A472" s="1716"/>
      <c r="B472" s="1716"/>
      <c r="C472" s="1692"/>
      <c r="D472" s="1717"/>
      <c r="E472" s="1716" t="s">
        <v>1034</v>
      </c>
      <c r="F472" s="1718"/>
      <c r="G472" s="1700">
        <f>G473</f>
        <v>148420000</v>
      </c>
    </row>
    <row r="473" spans="1:7" x14ac:dyDescent="0.2">
      <c r="A473" s="1716"/>
      <c r="B473" s="1716"/>
      <c r="C473" s="1692"/>
      <c r="D473" s="1717"/>
      <c r="E473" s="1718">
        <v>7750</v>
      </c>
      <c r="F473" s="1718"/>
      <c r="G473" s="1700">
        <f>G474</f>
        <v>148420000</v>
      </c>
    </row>
    <row r="474" spans="1:7" x14ac:dyDescent="0.2">
      <c r="A474" s="1716"/>
      <c r="B474" s="1716"/>
      <c r="C474" s="1692"/>
      <c r="D474" s="1717"/>
      <c r="E474" s="1718"/>
      <c r="F474" s="1718">
        <v>7799</v>
      </c>
      <c r="G474" s="1700">
        <v>148420000</v>
      </c>
    </row>
    <row r="475" spans="1:7" x14ac:dyDescent="0.2">
      <c r="A475" s="1716"/>
      <c r="B475" s="1716"/>
      <c r="C475" s="1692"/>
      <c r="D475" s="1717"/>
      <c r="E475" s="1716" t="s">
        <v>1037</v>
      </c>
      <c r="F475" s="1718"/>
      <c r="G475" s="1700">
        <f>G476</f>
        <v>1482000000</v>
      </c>
    </row>
    <row r="476" spans="1:7" x14ac:dyDescent="0.2">
      <c r="A476" s="1716"/>
      <c r="B476" s="1716"/>
      <c r="C476" s="1692"/>
      <c r="D476" s="1717"/>
      <c r="E476" s="1716" t="s">
        <v>1038</v>
      </c>
      <c r="F476" s="1718"/>
      <c r="G476" s="1700">
        <f>G477</f>
        <v>1482000000</v>
      </c>
    </row>
    <row r="477" spans="1:7" x14ac:dyDescent="0.2">
      <c r="A477" s="1716"/>
      <c r="B477" s="1716"/>
      <c r="C477" s="1692"/>
      <c r="D477" s="1717"/>
      <c r="E477" s="1718">
        <v>9250</v>
      </c>
      <c r="F477" s="1718"/>
      <c r="G477" s="1700">
        <f>G478</f>
        <v>1482000000</v>
      </c>
    </row>
    <row r="478" spans="1:7" x14ac:dyDescent="0.2">
      <c r="A478" s="1716"/>
      <c r="B478" s="1716"/>
      <c r="C478" s="1692"/>
      <c r="D478" s="1717"/>
      <c r="E478" s="1718"/>
      <c r="F478" s="1718">
        <v>9299</v>
      </c>
      <c r="G478" s="1700">
        <v>1482000000</v>
      </c>
    </row>
    <row r="479" spans="1:7" x14ac:dyDescent="0.2">
      <c r="A479" s="1716"/>
      <c r="B479" s="1716"/>
      <c r="C479" s="1692">
        <v>341</v>
      </c>
      <c r="D479" s="1724"/>
      <c r="E479" s="1718"/>
      <c r="F479" s="1718"/>
      <c r="G479" s="1700">
        <f>G480</f>
        <v>33367276361</v>
      </c>
    </row>
    <row r="480" spans="1:7" x14ac:dyDescent="0.2">
      <c r="A480" s="1716"/>
      <c r="B480" s="1716"/>
      <c r="C480" s="1692"/>
      <c r="D480" s="1717">
        <v>341</v>
      </c>
      <c r="E480" s="1718"/>
      <c r="F480" s="1725"/>
      <c r="G480" s="1700">
        <f>G481</f>
        <v>33367276361</v>
      </c>
    </row>
    <row r="481" spans="1:7" x14ac:dyDescent="0.2">
      <c r="A481" s="1716"/>
      <c r="B481" s="1716"/>
      <c r="C481" s="1692"/>
      <c r="D481" s="1717"/>
      <c r="E481" s="1716" t="s">
        <v>1031</v>
      </c>
      <c r="F481" s="1718"/>
      <c r="G481" s="1700">
        <f>G482+G516+G564</f>
        <v>33367276361</v>
      </c>
    </row>
    <row r="482" spans="1:7" x14ac:dyDescent="0.2">
      <c r="A482" s="1716"/>
      <c r="B482" s="1716"/>
      <c r="C482" s="1692"/>
      <c r="D482" s="1717"/>
      <c r="E482" s="1716" t="s">
        <v>1032</v>
      </c>
      <c r="F482" s="1718"/>
      <c r="G482" s="1700">
        <f>G483+G485+G487+G499+G503+G505+G510+G513</f>
        <v>14224331190</v>
      </c>
    </row>
    <row r="483" spans="1:7" x14ac:dyDescent="0.2">
      <c r="A483" s="1716"/>
      <c r="B483" s="1716"/>
      <c r="C483" s="1692"/>
      <c r="D483" s="1717"/>
      <c r="E483" s="1718">
        <v>6000</v>
      </c>
      <c r="F483" s="1718"/>
      <c r="G483" s="1700">
        <f>G484</f>
        <v>5742170504</v>
      </c>
    </row>
    <row r="484" spans="1:7" x14ac:dyDescent="0.2">
      <c r="A484" s="1716"/>
      <c r="B484" s="1716"/>
      <c r="C484" s="1692"/>
      <c r="D484" s="1717"/>
      <c r="E484" s="1718"/>
      <c r="F484" s="1718">
        <v>6001</v>
      </c>
      <c r="G484" s="1700">
        <v>5742170504</v>
      </c>
    </row>
    <row r="485" spans="1:7" x14ac:dyDescent="0.2">
      <c r="A485" s="1716"/>
      <c r="B485" s="1716"/>
      <c r="C485" s="1692"/>
      <c r="D485" s="1717"/>
      <c r="E485" s="1718">
        <v>6050</v>
      </c>
      <c r="F485" s="1718"/>
      <c r="G485" s="1700">
        <f>G486</f>
        <v>277447500</v>
      </c>
    </row>
    <row r="486" spans="1:7" x14ac:dyDescent="0.2">
      <c r="A486" s="1716"/>
      <c r="B486" s="1716"/>
      <c r="C486" s="1692"/>
      <c r="D486" s="1717"/>
      <c r="E486" s="1718"/>
      <c r="F486" s="1718">
        <v>6051</v>
      </c>
      <c r="G486" s="1700">
        <v>277447500</v>
      </c>
    </row>
    <row r="487" spans="1:7" x14ac:dyDescent="0.2">
      <c r="A487" s="1716"/>
      <c r="B487" s="1716"/>
      <c r="C487" s="1692"/>
      <c r="D487" s="1717"/>
      <c r="E487" s="1718">
        <v>6100</v>
      </c>
      <c r="F487" s="1718"/>
      <c r="G487" s="1700">
        <f>SUM(G488:G498)</f>
        <v>3372549105</v>
      </c>
    </row>
    <row r="488" spans="1:7" x14ac:dyDescent="0.2">
      <c r="A488" s="1716"/>
      <c r="B488" s="1716"/>
      <c r="C488" s="1692"/>
      <c r="D488" s="1717"/>
      <c r="E488" s="1718"/>
      <c r="F488" s="1718">
        <v>6101</v>
      </c>
      <c r="G488" s="1700">
        <v>158418000</v>
      </c>
    </row>
    <row r="489" spans="1:7" x14ac:dyDescent="0.2">
      <c r="A489" s="1716"/>
      <c r="B489" s="1716"/>
      <c r="C489" s="1692"/>
      <c r="D489" s="1717"/>
      <c r="E489" s="1718"/>
      <c r="F489" s="1718">
        <v>6102</v>
      </c>
      <c r="G489" s="1700">
        <v>477360000</v>
      </c>
    </row>
    <row r="490" spans="1:7" x14ac:dyDescent="0.2">
      <c r="A490" s="1716"/>
      <c r="B490" s="1716"/>
      <c r="C490" s="1692"/>
      <c r="D490" s="1717"/>
      <c r="E490" s="1718"/>
      <c r="F490" s="1718">
        <v>6105</v>
      </c>
      <c r="G490" s="1700">
        <v>614712715</v>
      </c>
    </row>
    <row r="491" spans="1:7" x14ac:dyDescent="0.2">
      <c r="A491" s="1716"/>
      <c r="B491" s="1716"/>
      <c r="C491" s="1692"/>
      <c r="D491" s="1717"/>
      <c r="E491" s="1718"/>
      <c r="F491" s="1718">
        <v>6107</v>
      </c>
      <c r="G491" s="1700">
        <v>1404000</v>
      </c>
    </row>
    <row r="492" spans="1:7" x14ac:dyDescent="0.2">
      <c r="A492" s="1716"/>
      <c r="B492" s="1716"/>
      <c r="C492" s="1692"/>
      <c r="D492" s="1717"/>
      <c r="E492" s="1718"/>
      <c r="F492" s="1718">
        <v>6111</v>
      </c>
      <c r="G492" s="1700">
        <v>512460000</v>
      </c>
    </row>
    <row r="493" spans="1:7" x14ac:dyDescent="0.2">
      <c r="A493" s="1716"/>
      <c r="B493" s="1716"/>
      <c r="C493" s="1692"/>
      <c r="D493" s="1717"/>
      <c r="E493" s="1718"/>
      <c r="F493" s="1718">
        <v>6113</v>
      </c>
      <c r="G493" s="1700">
        <v>23481900</v>
      </c>
    </row>
    <row r="494" spans="1:7" x14ac:dyDescent="0.2">
      <c r="A494" s="1716"/>
      <c r="B494" s="1716"/>
      <c r="C494" s="1692"/>
      <c r="D494" s="1717"/>
      <c r="E494" s="1718"/>
      <c r="F494" s="1718">
        <v>6114</v>
      </c>
      <c r="G494" s="1700">
        <v>13609232</v>
      </c>
    </row>
    <row r="495" spans="1:7" x14ac:dyDescent="0.2">
      <c r="A495" s="1716"/>
      <c r="B495" s="1716"/>
      <c r="C495" s="1692"/>
      <c r="D495" s="1717"/>
      <c r="E495" s="1718"/>
      <c r="F495" s="1718">
        <v>6115</v>
      </c>
      <c r="G495" s="1700">
        <v>3095232</v>
      </c>
    </row>
    <row r="496" spans="1:7" x14ac:dyDescent="0.2">
      <c r="A496" s="1716"/>
      <c r="B496" s="1716"/>
      <c r="C496" s="1692"/>
      <c r="D496" s="1717"/>
      <c r="E496" s="1718"/>
      <c r="F496" s="1718">
        <v>6123</v>
      </c>
      <c r="G496" s="1700">
        <v>51400440</v>
      </c>
    </row>
    <row r="497" spans="1:7" x14ac:dyDescent="0.2">
      <c r="A497" s="1716"/>
      <c r="B497" s="1716"/>
      <c r="C497" s="1692"/>
      <c r="D497" s="1717"/>
      <c r="E497" s="1718"/>
      <c r="F497" s="1718">
        <v>6124</v>
      </c>
      <c r="G497" s="1700">
        <v>1462693986</v>
      </c>
    </row>
    <row r="498" spans="1:7" x14ac:dyDescent="0.2">
      <c r="A498" s="1716"/>
      <c r="B498" s="1716"/>
      <c r="C498" s="1692"/>
      <c r="D498" s="1717"/>
      <c r="E498" s="1718"/>
      <c r="F498" s="1718">
        <v>6149</v>
      </c>
      <c r="G498" s="1700">
        <v>53913600</v>
      </c>
    </row>
    <row r="499" spans="1:7" x14ac:dyDescent="0.2">
      <c r="A499" s="1716"/>
      <c r="B499" s="1716"/>
      <c r="C499" s="1692"/>
      <c r="D499" s="1717"/>
      <c r="E499" s="1718">
        <v>6200</v>
      </c>
      <c r="F499" s="1718"/>
      <c r="G499" s="1700">
        <f>SUM(G500:G502)</f>
        <v>1119519890</v>
      </c>
    </row>
    <row r="500" spans="1:7" x14ac:dyDescent="0.2">
      <c r="A500" s="1716"/>
      <c r="B500" s="1716"/>
      <c r="C500" s="1692"/>
      <c r="D500" s="1717"/>
      <c r="E500" s="1718"/>
      <c r="F500" s="1718">
        <v>6201</v>
      </c>
      <c r="G500" s="1700">
        <v>894935948</v>
      </c>
    </row>
    <row r="501" spans="1:7" x14ac:dyDescent="0.2">
      <c r="A501" s="1716"/>
      <c r="B501" s="1716"/>
      <c r="C501" s="1692"/>
      <c r="D501" s="1717"/>
      <c r="E501" s="1718"/>
      <c r="F501" s="1718">
        <v>6202</v>
      </c>
      <c r="G501" s="1700">
        <v>42146000</v>
      </c>
    </row>
    <row r="502" spans="1:7" x14ac:dyDescent="0.2">
      <c r="A502" s="1716"/>
      <c r="B502" s="1716"/>
      <c r="C502" s="1692"/>
      <c r="D502" s="1717"/>
      <c r="E502" s="1718"/>
      <c r="F502" s="1718">
        <v>6249</v>
      </c>
      <c r="G502" s="1700">
        <v>182437942</v>
      </c>
    </row>
    <row r="503" spans="1:7" x14ac:dyDescent="0.2">
      <c r="A503" s="1716"/>
      <c r="B503" s="1716"/>
      <c r="C503" s="1692"/>
      <c r="D503" s="1717"/>
      <c r="E503" s="1718">
        <v>6250</v>
      </c>
      <c r="F503" s="1718"/>
      <c r="G503" s="1723">
        <f>G504</f>
        <v>387599000</v>
      </c>
    </row>
    <row r="504" spans="1:7" x14ac:dyDescent="0.2">
      <c r="A504" s="1716"/>
      <c r="B504" s="1716"/>
      <c r="C504" s="1692"/>
      <c r="D504" s="1717"/>
      <c r="E504" s="1718"/>
      <c r="F504" s="1718">
        <v>6299</v>
      </c>
      <c r="G504" s="1700">
        <v>387599000</v>
      </c>
    </row>
    <row r="505" spans="1:7" x14ac:dyDescent="0.2">
      <c r="A505" s="1716"/>
      <c r="B505" s="1716"/>
      <c r="C505" s="1692"/>
      <c r="D505" s="1717"/>
      <c r="E505" s="1718">
        <v>6300</v>
      </c>
      <c r="F505" s="1718"/>
      <c r="G505" s="1700">
        <f>SUM(G506:G509)</f>
        <v>1409609305</v>
      </c>
    </row>
    <row r="506" spans="1:7" x14ac:dyDescent="0.2">
      <c r="A506" s="1716"/>
      <c r="B506" s="1716"/>
      <c r="C506" s="1692"/>
      <c r="D506" s="1717"/>
      <c r="E506" s="1718"/>
      <c r="F506" s="1718">
        <v>6301</v>
      </c>
      <c r="G506" s="1700">
        <v>1147692216</v>
      </c>
    </row>
    <row r="507" spans="1:7" x14ac:dyDescent="0.2">
      <c r="A507" s="1716"/>
      <c r="B507" s="1716"/>
      <c r="C507" s="1692"/>
      <c r="D507" s="1717"/>
      <c r="E507" s="1718"/>
      <c r="F507" s="1718">
        <v>6302</v>
      </c>
      <c r="G507" s="1700">
        <v>212048689</v>
      </c>
    </row>
    <row r="508" spans="1:7" x14ac:dyDescent="0.2">
      <c r="A508" s="1716"/>
      <c r="B508" s="1716"/>
      <c r="C508" s="1692"/>
      <c r="D508" s="1717"/>
      <c r="E508" s="1718"/>
      <c r="F508" s="1718">
        <v>6303</v>
      </c>
      <c r="G508" s="1700">
        <v>47678340</v>
      </c>
    </row>
    <row r="509" spans="1:7" x14ac:dyDescent="0.2">
      <c r="A509" s="1716"/>
      <c r="B509" s="1716"/>
      <c r="C509" s="1692"/>
      <c r="D509" s="1717"/>
      <c r="E509" s="1718"/>
      <c r="F509" s="1718">
        <v>6304</v>
      </c>
      <c r="G509" s="1700">
        <v>2190060</v>
      </c>
    </row>
    <row r="510" spans="1:7" x14ac:dyDescent="0.2">
      <c r="A510" s="1716"/>
      <c r="B510" s="1716"/>
      <c r="C510" s="1692"/>
      <c r="D510" s="1717"/>
      <c r="E510" s="1718">
        <v>6350</v>
      </c>
      <c r="F510" s="1718"/>
      <c r="G510" s="1700">
        <f>SUM(G511:G512)</f>
        <v>1399211300</v>
      </c>
    </row>
    <row r="511" spans="1:7" x14ac:dyDescent="0.2">
      <c r="A511" s="1716"/>
      <c r="B511" s="1716"/>
      <c r="C511" s="1692"/>
      <c r="D511" s="1717"/>
      <c r="E511" s="1718"/>
      <c r="F511" s="1718">
        <v>6353</v>
      </c>
      <c r="G511" s="1700">
        <v>1178411300</v>
      </c>
    </row>
    <row r="512" spans="1:7" x14ac:dyDescent="0.2">
      <c r="A512" s="1716"/>
      <c r="B512" s="1716"/>
      <c r="C512" s="1692"/>
      <c r="D512" s="1717"/>
      <c r="E512" s="1718"/>
      <c r="F512" s="1718">
        <v>6399</v>
      </c>
      <c r="G512" s="1700">
        <v>220800000</v>
      </c>
    </row>
    <row r="513" spans="1:7" x14ac:dyDescent="0.2">
      <c r="A513" s="1716"/>
      <c r="B513" s="1716"/>
      <c r="C513" s="1692"/>
      <c r="D513" s="1717"/>
      <c r="E513" s="1718">
        <v>6400</v>
      </c>
      <c r="F513" s="1718"/>
      <c r="G513" s="1700">
        <f>SUM(G514:G515)</f>
        <v>516224586</v>
      </c>
    </row>
    <row r="514" spans="1:7" x14ac:dyDescent="0.2">
      <c r="A514" s="1716"/>
      <c r="B514" s="1716"/>
      <c r="C514" s="1692"/>
      <c r="D514" s="1717"/>
      <c r="E514" s="1718"/>
      <c r="F514" s="1718">
        <v>6404</v>
      </c>
      <c r="G514" s="1700">
        <v>496524586</v>
      </c>
    </row>
    <row r="515" spans="1:7" x14ac:dyDescent="0.2">
      <c r="A515" s="1716"/>
      <c r="B515" s="1716"/>
      <c r="C515" s="1692"/>
      <c r="D515" s="1717"/>
      <c r="E515" s="1718"/>
      <c r="F515" s="1718">
        <v>6449</v>
      </c>
      <c r="G515" s="1700">
        <v>19700000</v>
      </c>
    </row>
    <row r="516" spans="1:7" x14ac:dyDescent="0.2">
      <c r="A516" s="1716"/>
      <c r="B516" s="1716"/>
      <c r="C516" s="1692"/>
      <c r="D516" s="1717"/>
      <c r="E516" s="1716" t="s">
        <v>1033</v>
      </c>
      <c r="F516" s="1718"/>
      <c r="G516" s="1700">
        <f>G517+G523+G527+G534+G541+G547+G552+G556+G558+G562</f>
        <v>2725690653</v>
      </c>
    </row>
    <row r="517" spans="1:7" x14ac:dyDescent="0.2">
      <c r="A517" s="1716"/>
      <c r="B517" s="1716"/>
      <c r="C517" s="1692"/>
      <c r="D517" s="1717"/>
      <c r="E517" s="1718">
        <v>6500</v>
      </c>
      <c r="F517" s="1718"/>
      <c r="G517" s="1700">
        <f>SUM(G518:G522)</f>
        <v>223889459</v>
      </c>
    </row>
    <row r="518" spans="1:7" x14ac:dyDescent="0.2">
      <c r="A518" s="1716"/>
      <c r="B518" s="1716"/>
      <c r="C518" s="1692"/>
      <c r="D518" s="1717"/>
      <c r="E518" s="1718"/>
      <c r="F518" s="1718">
        <v>6501</v>
      </c>
      <c r="G518" s="1700">
        <v>161661008</v>
      </c>
    </row>
    <row r="519" spans="1:7" x14ac:dyDescent="0.2">
      <c r="A519" s="1716"/>
      <c r="B519" s="1716"/>
      <c r="C519" s="1692"/>
      <c r="D519" s="1717"/>
      <c r="E519" s="1718"/>
      <c r="F519" s="1718">
        <v>6502</v>
      </c>
      <c r="G519" s="1700">
        <v>14511451</v>
      </c>
    </row>
    <row r="520" spans="1:7" x14ac:dyDescent="0.2">
      <c r="A520" s="1716"/>
      <c r="B520" s="1716"/>
      <c r="C520" s="1692"/>
      <c r="D520" s="1717"/>
      <c r="E520" s="1718"/>
      <c r="F520" s="1718">
        <v>6503</v>
      </c>
      <c r="G520" s="1700">
        <v>32153000</v>
      </c>
    </row>
    <row r="521" spans="1:7" x14ac:dyDescent="0.2">
      <c r="A521" s="1716"/>
      <c r="B521" s="1716"/>
      <c r="C521" s="1692"/>
      <c r="D521" s="1717"/>
      <c r="E521" s="1718"/>
      <c r="F521" s="1718">
        <v>6504</v>
      </c>
      <c r="G521" s="1700">
        <v>2220000</v>
      </c>
    </row>
    <row r="522" spans="1:7" x14ac:dyDescent="0.2">
      <c r="A522" s="1716"/>
      <c r="B522" s="1716"/>
      <c r="C522" s="1692"/>
      <c r="D522" s="1717"/>
      <c r="E522" s="1718"/>
      <c r="F522" s="1718">
        <v>6505</v>
      </c>
      <c r="G522" s="1700">
        <v>13344000</v>
      </c>
    </row>
    <row r="523" spans="1:7" x14ac:dyDescent="0.2">
      <c r="A523" s="1716"/>
      <c r="B523" s="1716"/>
      <c r="C523" s="1692"/>
      <c r="D523" s="1717"/>
      <c r="E523" s="1718">
        <v>6550</v>
      </c>
      <c r="F523" s="1718"/>
      <c r="G523" s="1700">
        <f>SUM(G524:G526)</f>
        <v>382283711</v>
      </c>
    </row>
    <row r="524" spans="1:7" x14ac:dyDescent="0.2">
      <c r="A524" s="1716"/>
      <c r="B524" s="1716"/>
      <c r="C524" s="1692"/>
      <c r="D524" s="1717"/>
      <c r="E524" s="1718"/>
      <c r="F524" s="1718">
        <v>6551</v>
      </c>
      <c r="G524" s="1700">
        <v>223485397</v>
      </c>
    </row>
    <row r="525" spans="1:7" x14ac:dyDescent="0.2">
      <c r="A525" s="1716"/>
      <c r="B525" s="1716"/>
      <c r="C525" s="1692"/>
      <c r="D525" s="1717"/>
      <c r="E525" s="1718"/>
      <c r="F525" s="1718">
        <v>6552</v>
      </c>
      <c r="G525" s="1700">
        <v>45123984</v>
      </c>
    </row>
    <row r="526" spans="1:7" x14ac:dyDescent="0.2">
      <c r="A526" s="1716"/>
      <c r="B526" s="1716"/>
      <c r="C526" s="1692"/>
      <c r="D526" s="1717"/>
      <c r="E526" s="1718"/>
      <c r="F526" s="1718">
        <v>6599</v>
      </c>
      <c r="G526" s="1700">
        <v>113674330</v>
      </c>
    </row>
    <row r="527" spans="1:7" x14ac:dyDescent="0.2">
      <c r="A527" s="1716"/>
      <c r="B527" s="1716"/>
      <c r="C527" s="1692"/>
      <c r="D527" s="1717"/>
      <c r="E527" s="1718">
        <v>6600</v>
      </c>
      <c r="F527" s="1718"/>
      <c r="G527" s="1700">
        <f>SUM(G528:G533)</f>
        <v>123204764</v>
      </c>
    </row>
    <row r="528" spans="1:7" x14ac:dyDescent="0.2">
      <c r="A528" s="1716"/>
      <c r="B528" s="1716"/>
      <c r="C528" s="1692"/>
      <c r="D528" s="1717"/>
      <c r="E528" s="1718"/>
      <c r="F528" s="1718">
        <v>6601</v>
      </c>
      <c r="G528" s="1700">
        <v>1156189</v>
      </c>
    </row>
    <row r="529" spans="1:7" x14ac:dyDescent="0.2">
      <c r="A529" s="1716"/>
      <c r="B529" s="1716"/>
      <c r="C529" s="1692"/>
      <c r="D529" s="1717"/>
      <c r="E529" s="1718"/>
      <c r="F529" s="1718">
        <v>6603</v>
      </c>
      <c r="G529" s="1700">
        <v>28539825</v>
      </c>
    </row>
    <row r="530" spans="1:7" x14ac:dyDescent="0.2">
      <c r="A530" s="1716"/>
      <c r="B530" s="1716"/>
      <c r="C530" s="1692"/>
      <c r="D530" s="1717"/>
      <c r="E530" s="1718"/>
      <c r="F530" s="1718">
        <v>6605</v>
      </c>
      <c r="G530" s="1700">
        <v>48562369</v>
      </c>
    </row>
    <row r="531" spans="1:7" x14ac:dyDescent="0.2">
      <c r="A531" s="1716"/>
      <c r="B531" s="1716"/>
      <c r="C531" s="1692"/>
      <c r="D531" s="1717"/>
      <c r="E531" s="1718"/>
      <c r="F531" s="1718">
        <v>6606</v>
      </c>
      <c r="G531" s="1700">
        <v>18831197</v>
      </c>
    </row>
    <row r="532" spans="1:7" x14ac:dyDescent="0.2">
      <c r="A532" s="1716"/>
      <c r="B532" s="1716"/>
      <c r="C532" s="1692"/>
      <c r="D532" s="1717"/>
      <c r="E532" s="1718"/>
      <c r="F532" s="1718">
        <v>6608</v>
      </c>
      <c r="G532" s="1700">
        <v>11714200</v>
      </c>
    </row>
    <row r="533" spans="1:7" x14ac:dyDescent="0.2">
      <c r="A533" s="1716"/>
      <c r="B533" s="1716"/>
      <c r="C533" s="1692"/>
      <c r="D533" s="1717"/>
      <c r="E533" s="1718"/>
      <c r="F533" s="1718">
        <v>6649</v>
      </c>
      <c r="G533" s="1700">
        <v>14400984</v>
      </c>
    </row>
    <row r="534" spans="1:7" x14ac:dyDescent="0.2">
      <c r="A534" s="1716"/>
      <c r="B534" s="1716"/>
      <c r="C534" s="1692"/>
      <c r="D534" s="1717"/>
      <c r="E534" s="1718">
        <v>6650</v>
      </c>
      <c r="F534" s="1718"/>
      <c r="G534" s="1700">
        <f>SUM(G535:G540)</f>
        <v>572060023</v>
      </c>
    </row>
    <row r="535" spans="1:7" x14ac:dyDescent="0.2">
      <c r="A535" s="1716"/>
      <c r="B535" s="1716"/>
      <c r="C535" s="1692"/>
      <c r="D535" s="1717"/>
      <c r="E535" s="1718"/>
      <c r="F535" s="1718">
        <v>6651</v>
      </c>
      <c r="G535" s="1700">
        <v>20629189</v>
      </c>
    </row>
    <row r="536" spans="1:7" x14ac:dyDescent="0.2">
      <c r="A536" s="1716"/>
      <c r="B536" s="1716"/>
      <c r="C536" s="1692"/>
      <c r="D536" s="1717"/>
      <c r="E536" s="1718"/>
      <c r="F536" s="1718">
        <v>6652</v>
      </c>
      <c r="G536" s="1700">
        <v>10350000</v>
      </c>
    </row>
    <row r="537" spans="1:7" x14ac:dyDescent="0.2">
      <c r="A537" s="1716"/>
      <c r="B537" s="1716"/>
      <c r="C537" s="1692"/>
      <c r="D537" s="1717"/>
      <c r="E537" s="1718"/>
      <c r="F537" s="1718">
        <v>6655</v>
      </c>
      <c r="G537" s="1700">
        <v>10000000</v>
      </c>
    </row>
    <row r="538" spans="1:7" x14ac:dyDescent="0.2">
      <c r="A538" s="1716"/>
      <c r="B538" s="1716"/>
      <c r="C538" s="1692"/>
      <c r="D538" s="1717"/>
      <c r="E538" s="1718"/>
      <c r="F538" s="1718">
        <v>6657</v>
      </c>
      <c r="G538" s="1700">
        <v>1520000</v>
      </c>
    </row>
    <row r="539" spans="1:7" x14ac:dyDescent="0.2">
      <c r="A539" s="1716"/>
      <c r="B539" s="1716"/>
      <c r="C539" s="1692"/>
      <c r="D539" s="1717"/>
      <c r="E539" s="1718"/>
      <c r="F539" s="1718">
        <v>6658</v>
      </c>
      <c r="G539" s="1700">
        <v>7808600</v>
      </c>
    </row>
    <row r="540" spans="1:7" x14ac:dyDescent="0.2">
      <c r="A540" s="1716"/>
      <c r="B540" s="1716"/>
      <c r="C540" s="1692"/>
      <c r="D540" s="1717"/>
      <c r="E540" s="1718"/>
      <c r="F540" s="1718">
        <v>6699</v>
      </c>
      <c r="G540" s="1700">
        <v>521752234</v>
      </c>
    </row>
    <row r="541" spans="1:7" x14ac:dyDescent="0.2">
      <c r="A541" s="1716"/>
      <c r="B541" s="1716"/>
      <c r="C541" s="1692"/>
      <c r="D541" s="1717"/>
      <c r="E541" s="1718">
        <v>6700</v>
      </c>
      <c r="F541" s="1718"/>
      <c r="G541" s="1700">
        <f>SUM(G542:G546)</f>
        <v>210626000</v>
      </c>
    </row>
    <row r="542" spans="1:7" x14ac:dyDescent="0.2">
      <c r="A542" s="1716"/>
      <c r="B542" s="1716"/>
      <c r="C542" s="1692"/>
      <c r="D542" s="1717"/>
      <c r="E542" s="1718"/>
      <c r="F542" s="1718">
        <v>6701</v>
      </c>
      <c r="G542" s="1700">
        <v>9476000</v>
      </c>
    </row>
    <row r="543" spans="1:7" x14ac:dyDescent="0.2">
      <c r="A543" s="1716"/>
      <c r="B543" s="1716"/>
      <c r="C543" s="1692"/>
      <c r="D543" s="1717"/>
      <c r="E543" s="1718"/>
      <c r="F543" s="1718">
        <v>6702</v>
      </c>
      <c r="G543" s="1700">
        <v>90500000</v>
      </c>
    </row>
    <row r="544" spans="1:7" x14ac:dyDescent="0.2">
      <c r="A544" s="1716"/>
      <c r="B544" s="1716"/>
      <c r="C544" s="1692"/>
      <c r="D544" s="1717"/>
      <c r="E544" s="1718"/>
      <c r="F544" s="1718">
        <v>6703</v>
      </c>
      <c r="G544" s="1700">
        <v>87950000</v>
      </c>
    </row>
    <row r="545" spans="1:7" x14ac:dyDescent="0.2">
      <c r="A545" s="1716"/>
      <c r="B545" s="1716"/>
      <c r="C545" s="1692"/>
      <c r="D545" s="1717"/>
      <c r="E545" s="1718"/>
      <c r="F545" s="1718">
        <v>6704</v>
      </c>
      <c r="G545" s="1700">
        <v>20100000</v>
      </c>
    </row>
    <row r="546" spans="1:7" x14ac:dyDescent="0.2">
      <c r="A546" s="1716"/>
      <c r="B546" s="1716"/>
      <c r="C546" s="1692"/>
      <c r="D546" s="1717"/>
      <c r="E546" s="1718"/>
      <c r="F546" s="1718">
        <v>6749</v>
      </c>
      <c r="G546" s="1700">
        <v>2600000</v>
      </c>
    </row>
    <row r="547" spans="1:7" x14ac:dyDescent="0.2">
      <c r="A547" s="1716"/>
      <c r="B547" s="1716"/>
      <c r="C547" s="1692"/>
      <c r="D547" s="1717"/>
      <c r="E547" s="1718">
        <v>6750</v>
      </c>
      <c r="F547" s="1718"/>
      <c r="G547" s="1700">
        <f>SUM(G548:G551)</f>
        <v>519093000</v>
      </c>
    </row>
    <row r="548" spans="1:7" x14ac:dyDescent="0.2">
      <c r="A548" s="1716"/>
      <c r="B548" s="1716"/>
      <c r="C548" s="1692"/>
      <c r="D548" s="1717"/>
      <c r="E548" s="1718"/>
      <c r="F548" s="1718">
        <v>6751</v>
      </c>
      <c r="G548" s="1700">
        <v>120588000</v>
      </c>
    </row>
    <row r="549" spans="1:7" x14ac:dyDescent="0.2">
      <c r="A549" s="1716"/>
      <c r="B549" s="1716"/>
      <c r="C549" s="1692"/>
      <c r="D549" s="1717"/>
      <c r="E549" s="1718"/>
      <c r="F549" s="1718">
        <v>6754</v>
      </c>
      <c r="G549" s="1700">
        <v>191600000</v>
      </c>
    </row>
    <row r="550" spans="1:7" x14ac:dyDescent="0.2">
      <c r="A550" s="1716"/>
      <c r="B550" s="1716"/>
      <c r="C550" s="1692"/>
      <c r="D550" s="1717"/>
      <c r="E550" s="1718"/>
      <c r="F550" s="1718">
        <v>6757</v>
      </c>
      <c r="G550" s="1700">
        <v>98400000</v>
      </c>
    </row>
    <row r="551" spans="1:7" x14ac:dyDescent="0.2">
      <c r="A551" s="1716"/>
      <c r="B551" s="1716"/>
      <c r="C551" s="1692"/>
      <c r="D551" s="1717"/>
      <c r="E551" s="1718"/>
      <c r="F551" s="1718">
        <v>6799</v>
      </c>
      <c r="G551" s="1700">
        <v>108505000</v>
      </c>
    </row>
    <row r="552" spans="1:7" x14ac:dyDescent="0.2">
      <c r="A552" s="1716"/>
      <c r="B552" s="1716"/>
      <c r="C552" s="1692"/>
      <c r="D552" s="1717"/>
      <c r="E552" s="1718">
        <v>6900</v>
      </c>
      <c r="F552" s="1718"/>
      <c r="G552" s="1700">
        <f>SUM(G553:G555)</f>
        <v>209223108</v>
      </c>
    </row>
    <row r="553" spans="1:7" x14ac:dyDescent="0.2">
      <c r="A553" s="1716"/>
      <c r="B553" s="1716"/>
      <c r="C553" s="1692"/>
      <c r="D553" s="1717"/>
      <c r="E553" s="1718"/>
      <c r="F553" s="1718">
        <v>6912</v>
      </c>
      <c r="G553" s="1700">
        <v>109231508</v>
      </c>
    </row>
    <row r="554" spans="1:7" x14ac:dyDescent="0.2">
      <c r="A554" s="1716"/>
      <c r="B554" s="1716"/>
      <c r="C554" s="1692"/>
      <c r="D554" s="1717"/>
      <c r="E554" s="1718"/>
      <c r="F554" s="1718">
        <v>6913</v>
      </c>
      <c r="G554" s="1700">
        <v>54300000</v>
      </c>
    </row>
    <row r="555" spans="1:7" x14ac:dyDescent="0.2">
      <c r="A555" s="1716"/>
      <c r="B555" s="1716"/>
      <c r="C555" s="1692"/>
      <c r="D555" s="1717"/>
      <c r="E555" s="1718"/>
      <c r="F555" s="1718">
        <v>6921</v>
      </c>
      <c r="G555" s="1700">
        <v>45691600</v>
      </c>
    </row>
    <row r="556" spans="1:7" x14ac:dyDescent="0.2">
      <c r="A556" s="1716"/>
      <c r="B556" s="1716"/>
      <c r="C556" s="1692"/>
      <c r="D556" s="1717"/>
      <c r="E556" s="1718">
        <v>6950</v>
      </c>
      <c r="F556" s="1718"/>
      <c r="G556" s="1700">
        <f>SUM(G557)</f>
        <v>71390000</v>
      </c>
    </row>
    <row r="557" spans="1:7" x14ac:dyDescent="0.2">
      <c r="A557" s="1716"/>
      <c r="B557" s="1716"/>
      <c r="C557" s="1692"/>
      <c r="D557" s="1717"/>
      <c r="E557" s="1718"/>
      <c r="F557" s="1718">
        <v>6954</v>
      </c>
      <c r="G557" s="1700">
        <v>71390000</v>
      </c>
    </row>
    <row r="558" spans="1:7" x14ac:dyDescent="0.2">
      <c r="A558" s="1716"/>
      <c r="B558" s="1716"/>
      <c r="C558" s="1692"/>
      <c r="D558" s="1717"/>
      <c r="E558" s="1718">
        <v>7000</v>
      </c>
      <c r="F558" s="1718"/>
      <c r="G558" s="1700">
        <f>SUM(G559:G561)</f>
        <v>293340588</v>
      </c>
    </row>
    <row r="559" spans="1:7" x14ac:dyDescent="0.2">
      <c r="A559" s="1716"/>
      <c r="B559" s="1716"/>
      <c r="C559" s="1692"/>
      <c r="D559" s="1717"/>
      <c r="E559" s="1718"/>
      <c r="F559" s="1718">
        <v>7001</v>
      </c>
      <c r="G559" s="1700">
        <v>138326614</v>
      </c>
    </row>
    <row r="560" spans="1:7" x14ac:dyDescent="0.2">
      <c r="A560" s="1716"/>
      <c r="B560" s="1716"/>
      <c r="C560" s="1692"/>
      <c r="D560" s="1717"/>
      <c r="E560" s="1718"/>
      <c r="F560" s="1718">
        <v>7004</v>
      </c>
      <c r="G560" s="1700">
        <v>6720000</v>
      </c>
    </row>
    <row r="561" spans="1:7" x14ac:dyDescent="0.2">
      <c r="A561" s="1716"/>
      <c r="B561" s="1716"/>
      <c r="C561" s="1692"/>
      <c r="D561" s="1717"/>
      <c r="E561" s="1718"/>
      <c r="F561" s="1718">
        <v>7049</v>
      </c>
      <c r="G561" s="1700">
        <v>148293974</v>
      </c>
    </row>
    <row r="562" spans="1:7" x14ac:dyDescent="0.2">
      <c r="A562" s="1716"/>
      <c r="B562" s="1716"/>
      <c r="C562" s="1692"/>
      <c r="D562" s="1717"/>
      <c r="E562" s="1718">
        <v>7050</v>
      </c>
      <c r="F562" s="1718"/>
      <c r="G562" s="1700">
        <f>SUM(G563)</f>
        <v>120580000</v>
      </c>
    </row>
    <row r="563" spans="1:7" x14ac:dyDescent="0.2">
      <c r="A563" s="1716"/>
      <c r="B563" s="1716"/>
      <c r="C563" s="1692"/>
      <c r="D563" s="1717"/>
      <c r="E563" s="1718"/>
      <c r="F563" s="1718">
        <v>7053</v>
      </c>
      <c r="G563" s="1700">
        <v>120580000</v>
      </c>
    </row>
    <row r="564" spans="1:7" x14ac:dyDescent="0.2">
      <c r="A564" s="1716"/>
      <c r="B564" s="1716"/>
      <c r="C564" s="1692"/>
      <c r="D564" s="1717"/>
      <c r="E564" s="1716" t="s">
        <v>1034</v>
      </c>
      <c r="F564" s="1718"/>
      <c r="G564" s="1700">
        <f>G565+G569+G572</f>
        <v>16417254518</v>
      </c>
    </row>
    <row r="565" spans="1:7" x14ac:dyDescent="0.2">
      <c r="A565" s="1716"/>
      <c r="B565" s="1716"/>
      <c r="C565" s="1692"/>
      <c r="D565" s="1717"/>
      <c r="E565" s="1718">
        <v>7750</v>
      </c>
      <c r="F565" s="1718"/>
      <c r="G565" s="1700">
        <f>SUM(G566:G568)</f>
        <v>1705423303</v>
      </c>
    </row>
    <row r="566" spans="1:7" x14ac:dyDescent="0.2">
      <c r="A566" s="1716"/>
      <c r="B566" s="1716"/>
      <c r="C566" s="1692"/>
      <c r="D566" s="1717"/>
      <c r="E566" s="1718"/>
      <c r="F566" s="1718">
        <v>7756</v>
      </c>
      <c r="G566" s="1700">
        <v>1520455</v>
      </c>
    </row>
    <row r="567" spans="1:7" x14ac:dyDescent="0.2">
      <c r="A567" s="1716"/>
      <c r="B567" s="1716"/>
      <c r="C567" s="1692"/>
      <c r="D567" s="1717"/>
      <c r="E567" s="1718"/>
      <c r="F567" s="1718">
        <v>7761</v>
      </c>
      <c r="G567" s="1700">
        <v>275196532</v>
      </c>
    </row>
    <row r="568" spans="1:7" x14ac:dyDescent="0.2">
      <c r="A568" s="1716"/>
      <c r="B568" s="1716"/>
      <c r="C568" s="1692"/>
      <c r="D568" s="1717"/>
      <c r="E568" s="1718"/>
      <c r="F568" s="1718">
        <v>7799</v>
      </c>
      <c r="G568" s="1700">
        <v>1428706316</v>
      </c>
    </row>
    <row r="569" spans="1:7" x14ac:dyDescent="0.2">
      <c r="A569" s="1716"/>
      <c r="B569" s="1716"/>
      <c r="C569" s="1692"/>
      <c r="D569" s="1717"/>
      <c r="E569" s="1718">
        <v>7850</v>
      </c>
      <c r="F569" s="1718"/>
      <c r="G569" s="1700">
        <f>SUM(G570:G571)</f>
        <v>255191540</v>
      </c>
    </row>
    <row r="570" spans="1:7" x14ac:dyDescent="0.2">
      <c r="A570" s="1716"/>
      <c r="B570" s="1716"/>
      <c r="C570" s="1692"/>
      <c r="D570" s="1717"/>
      <c r="E570" s="1718"/>
      <c r="F570" s="1718">
        <v>7852</v>
      </c>
      <c r="G570" s="1700">
        <v>176801540</v>
      </c>
    </row>
    <row r="571" spans="1:7" x14ac:dyDescent="0.2">
      <c r="A571" s="1716"/>
      <c r="B571" s="1716"/>
      <c r="C571" s="1692"/>
      <c r="D571" s="1717"/>
      <c r="E571" s="1718"/>
      <c r="F571" s="1718">
        <v>7853</v>
      </c>
      <c r="G571" s="1700">
        <v>78390000</v>
      </c>
    </row>
    <row r="572" spans="1:7" x14ac:dyDescent="0.2">
      <c r="A572" s="1716"/>
      <c r="B572" s="1716"/>
      <c r="C572" s="1692"/>
      <c r="D572" s="1717"/>
      <c r="E572" s="1718">
        <v>8000</v>
      </c>
      <c r="F572" s="1718"/>
      <c r="G572" s="1700">
        <f>SUM(G573)</f>
        <v>14456639675</v>
      </c>
    </row>
    <row r="573" spans="1:7" x14ac:dyDescent="0.2">
      <c r="A573" s="1716"/>
      <c r="B573" s="1716"/>
      <c r="C573" s="1692"/>
      <c r="D573" s="1717"/>
      <c r="E573" s="1718"/>
      <c r="F573" s="1718">
        <v>8006</v>
      </c>
      <c r="G573" s="1700">
        <v>14456639675</v>
      </c>
    </row>
    <row r="574" spans="1:7" x14ac:dyDescent="0.2">
      <c r="A574" s="1716"/>
      <c r="B574" s="1716"/>
      <c r="C574" s="1692">
        <v>351</v>
      </c>
      <c r="D574" s="1717"/>
      <c r="E574" s="1718"/>
      <c r="F574" s="1718"/>
      <c r="G574" s="1700">
        <f>G575</f>
        <v>8065349336</v>
      </c>
    </row>
    <row r="575" spans="1:7" x14ac:dyDescent="0.2">
      <c r="A575" s="1716"/>
      <c r="B575" s="1716"/>
      <c r="C575" s="1692"/>
      <c r="D575" s="1717">
        <v>351</v>
      </c>
      <c r="E575" s="1718"/>
      <c r="F575" s="1718"/>
      <c r="G575" s="1700">
        <f>G576</f>
        <v>8065349336</v>
      </c>
    </row>
    <row r="576" spans="1:7" x14ac:dyDescent="0.2">
      <c r="A576" s="1716"/>
      <c r="B576" s="1716"/>
      <c r="C576" s="1692"/>
      <c r="D576" s="1717"/>
      <c r="E576" s="1716" t="s">
        <v>1031</v>
      </c>
      <c r="F576" s="1718"/>
      <c r="G576" s="1700">
        <f>G577+G605+G641</f>
        <v>8065349336</v>
      </c>
    </row>
    <row r="577" spans="1:7" x14ac:dyDescent="0.2">
      <c r="A577" s="1716"/>
      <c r="B577" s="1716"/>
      <c r="C577" s="1692"/>
      <c r="D577" s="1717"/>
      <c r="E577" s="1716" t="s">
        <v>1032</v>
      </c>
      <c r="F577" s="1718"/>
      <c r="G577" s="1723">
        <f>G578+G580+G582+G591+G593+G595+G599+G602</f>
        <v>4945016499</v>
      </c>
    </row>
    <row r="578" spans="1:7" x14ac:dyDescent="0.2">
      <c r="A578" s="1716"/>
      <c r="B578" s="1716"/>
      <c r="C578" s="1692"/>
      <c r="D578" s="1717"/>
      <c r="E578" s="1718">
        <v>6000</v>
      </c>
      <c r="F578" s="1718"/>
      <c r="G578" s="1700">
        <f>G579</f>
        <v>1608306816</v>
      </c>
    </row>
    <row r="579" spans="1:7" x14ac:dyDescent="0.2">
      <c r="A579" s="1716"/>
      <c r="B579" s="1716"/>
      <c r="C579" s="1692"/>
      <c r="D579" s="1717"/>
      <c r="E579" s="1718"/>
      <c r="F579" s="1718">
        <v>6001</v>
      </c>
      <c r="G579" s="1700">
        <v>1608306816</v>
      </c>
    </row>
    <row r="580" spans="1:7" x14ac:dyDescent="0.2">
      <c r="A580" s="1716"/>
      <c r="B580" s="1716"/>
      <c r="C580" s="1692"/>
      <c r="D580" s="1717"/>
      <c r="E580" s="1718">
        <v>6050</v>
      </c>
      <c r="F580" s="1718"/>
      <c r="G580" s="1700">
        <f>G581</f>
        <v>126561826</v>
      </c>
    </row>
    <row r="581" spans="1:7" x14ac:dyDescent="0.2">
      <c r="A581" s="1716"/>
      <c r="B581" s="1716"/>
      <c r="C581" s="1692"/>
      <c r="D581" s="1717"/>
      <c r="E581" s="1718"/>
      <c r="F581" s="1718">
        <v>6051</v>
      </c>
      <c r="G581" s="1700">
        <v>126561826</v>
      </c>
    </row>
    <row r="582" spans="1:7" x14ac:dyDescent="0.2">
      <c r="A582" s="1716"/>
      <c r="B582" s="1716"/>
      <c r="C582" s="1692"/>
      <c r="D582" s="1717"/>
      <c r="E582" s="1718">
        <v>6100</v>
      </c>
      <c r="F582" s="1718"/>
      <c r="G582" s="1700">
        <f>SUM(G583:G590)</f>
        <v>1015757909</v>
      </c>
    </row>
    <row r="583" spans="1:7" x14ac:dyDescent="0.2">
      <c r="A583" s="1716"/>
      <c r="B583" s="1716"/>
      <c r="C583" s="1692"/>
      <c r="D583" s="1717"/>
      <c r="E583" s="1718"/>
      <c r="F583" s="1718">
        <v>6101</v>
      </c>
      <c r="G583" s="1700">
        <v>69498000</v>
      </c>
    </row>
    <row r="584" spans="1:7" x14ac:dyDescent="0.2">
      <c r="A584" s="1716"/>
      <c r="B584" s="1716"/>
      <c r="C584" s="1692"/>
      <c r="D584" s="1717"/>
      <c r="E584" s="1718"/>
      <c r="F584" s="1718">
        <v>6102</v>
      </c>
      <c r="G584" s="1700">
        <v>116532000</v>
      </c>
    </row>
    <row r="585" spans="1:7" x14ac:dyDescent="0.2">
      <c r="A585" s="1716"/>
      <c r="B585" s="1716"/>
      <c r="C585" s="1692"/>
      <c r="D585" s="1717"/>
      <c r="E585" s="1718"/>
      <c r="F585" s="1718">
        <v>6105</v>
      </c>
      <c r="G585" s="1700">
        <v>40085795</v>
      </c>
    </row>
    <row r="586" spans="1:7" x14ac:dyDescent="0.2">
      <c r="A586" s="1716"/>
      <c r="B586" s="1716"/>
      <c r="C586" s="1692"/>
      <c r="D586" s="1717"/>
      <c r="E586" s="1718"/>
      <c r="F586" s="1718">
        <v>6113</v>
      </c>
      <c r="G586" s="1700">
        <v>19164600</v>
      </c>
    </row>
    <row r="587" spans="1:7" x14ac:dyDescent="0.2">
      <c r="A587" s="1716"/>
      <c r="B587" s="1716"/>
      <c r="C587" s="1692"/>
      <c r="D587" s="1717"/>
      <c r="E587" s="1718"/>
      <c r="F587" s="1718">
        <v>6115</v>
      </c>
      <c r="G587" s="1700">
        <v>2242644</v>
      </c>
    </row>
    <row r="588" spans="1:7" x14ac:dyDescent="0.2">
      <c r="A588" s="1716"/>
      <c r="B588" s="1716"/>
      <c r="C588" s="1692"/>
      <c r="D588" s="1717"/>
      <c r="E588" s="1718"/>
      <c r="F588" s="1718">
        <v>6123</v>
      </c>
      <c r="G588" s="1700">
        <v>247202280</v>
      </c>
    </row>
    <row r="589" spans="1:7" x14ac:dyDescent="0.2">
      <c r="A589" s="1716"/>
      <c r="B589" s="1716"/>
      <c r="C589" s="1692"/>
      <c r="D589" s="1717"/>
      <c r="E589" s="1718"/>
      <c r="F589" s="1718">
        <v>6124</v>
      </c>
      <c r="G589" s="1700">
        <v>419392350</v>
      </c>
    </row>
    <row r="590" spans="1:7" x14ac:dyDescent="0.2">
      <c r="A590" s="1716"/>
      <c r="B590" s="1716"/>
      <c r="C590" s="1692"/>
      <c r="D590" s="1717"/>
      <c r="E590" s="1718"/>
      <c r="F590" s="1718">
        <v>6149</v>
      </c>
      <c r="G590" s="1700">
        <v>101640240</v>
      </c>
    </row>
    <row r="591" spans="1:7" x14ac:dyDescent="0.2">
      <c r="A591" s="1716"/>
      <c r="B591" s="1716"/>
      <c r="C591" s="1692"/>
      <c r="D591" s="1717"/>
      <c r="E591" s="1718">
        <v>6200</v>
      </c>
      <c r="F591" s="1718"/>
      <c r="G591" s="1700">
        <f>G592</f>
        <v>330894720</v>
      </c>
    </row>
    <row r="592" spans="1:7" x14ac:dyDescent="0.2">
      <c r="A592" s="1716"/>
      <c r="B592" s="1716"/>
      <c r="C592" s="1692"/>
      <c r="D592" s="1717"/>
      <c r="E592" s="1718"/>
      <c r="F592" s="1718">
        <v>6201</v>
      </c>
      <c r="G592" s="1700">
        <v>330894720</v>
      </c>
    </row>
    <row r="593" spans="1:7" x14ac:dyDescent="0.2">
      <c r="A593" s="1716"/>
      <c r="B593" s="1716"/>
      <c r="C593" s="1692"/>
      <c r="D593" s="1717"/>
      <c r="E593" s="1718">
        <v>6250</v>
      </c>
      <c r="F593" s="1718"/>
      <c r="G593" s="1700">
        <f>G594</f>
        <v>68800000</v>
      </c>
    </row>
    <row r="594" spans="1:7" x14ac:dyDescent="0.2">
      <c r="A594" s="1716"/>
      <c r="B594" s="1716"/>
      <c r="C594" s="1692"/>
      <c r="D594" s="1717"/>
      <c r="E594" s="1718"/>
      <c r="F594" s="1718">
        <v>6299</v>
      </c>
      <c r="G594" s="1700">
        <v>68800000</v>
      </c>
    </row>
    <row r="595" spans="1:7" x14ac:dyDescent="0.2">
      <c r="A595" s="1716"/>
      <c r="B595" s="1716"/>
      <c r="C595" s="1692"/>
      <c r="D595" s="1717"/>
      <c r="E595" s="1718">
        <v>6300</v>
      </c>
      <c r="F595" s="1718"/>
      <c r="G595" s="1700">
        <f>SUM(G596:G598)</f>
        <v>399968383</v>
      </c>
    </row>
    <row r="596" spans="1:7" x14ac:dyDescent="0.2">
      <c r="A596" s="1716"/>
      <c r="B596" s="1716"/>
      <c r="C596" s="1692"/>
      <c r="D596" s="1717"/>
      <c r="E596" s="1718"/>
      <c r="F596" s="1718">
        <v>6301</v>
      </c>
      <c r="G596" s="1700">
        <v>343425721</v>
      </c>
    </row>
    <row r="597" spans="1:7" x14ac:dyDescent="0.2">
      <c r="A597" s="1716"/>
      <c r="B597" s="1716"/>
      <c r="C597" s="1692"/>
      <c r="D597" s="1717"/>
      <c r="E597" s="1718"/>
      <c r="F597" s="1718">
        <v>6302</v>
      </c>
      <c r="G597" s="1700">
        <v>55631256</v>
      </c>
    </row>
    <row r="598" spans="1:7" x14ac:dyDescent="0.2">
      <c r="A598" s="1716"/>
      <c r="B598" s="1716"/>
      <c r="C598" s="1692"/>
      <c r="D598" s="1717"/>
      <c r="E598" s="1718"/>
      <c r="F598" s="1718">
        <v>6304</v>
      </c>
      <c r="G598" s="1700">
        <v>911406</v>
      </c>
    </row>
    <row r="599" spans="1:7" x14ac:dyDescent="0.2">
      <c r="A599" s="1716"/>
      <c r="B599" s="1716"/>
      <c r="C599" s="1692"/>
      <c r="D599" s="1717"/>
      <c r="E599" s="1718">
        <v>6350</v>
      </c>
      <c r="F599" s="1718"/>
      <c r="G599" s="1700">
        <f>SUM(G600:G601)</f>
        <v>1248900000</v>
      </c>
    </row>
    <row r="600" spans="1:7" x14ac:dyDescent="0.2">
      <c r="A600" s="1716"/>
      <c r="B600" s="1716"/>
      <c r="C600" s="1692"/>
      <c r="D600" s="1717"/>
      <c r="E600" s="1718"/>
      <c r="F600" s="1718">
        <v>6353</v>
      </c>
      <c r="G600" s="1700">
        <v>1028100000</v>
      </c>
    </row>
    <row r="601" spans="1:7" x14ac:dyDescent="0.2">
      <c r="A601" s="1716"/>
      <c r="B601" s="1716"/>
      <c r="C601" s="1692"/>
      <c r="D601" s="1717"/>
      <c r="E601" s="1718"/>
      <c r="F601" s="1718">
        <v>6399</v>
      </c>
      <c r="G601" s="1700">
        <v>220800000</v>
      </c>
    </row>
    <row r="602" spans="1:7" x14ac:dyDescent="0.2">
      <c r="A602" s="1716"/>
      <c r="B602" s="1716"/>
      <c r="C602" s="1692"/>
      <c r="D602" s="1717"/>
      <c r="E602" s="1718">
        <v>6400</v>
      </c>
      <c r="F602" s="1718"/>
      <c r="G602" s="1700">
        <f>SUM(G603:G604)</f>
        <v>145826845</v>
      </c>
    </row>
    <row r="603" spans="1:7" x14ac:dyDescent="0.2">
      <c r="A603" s="1716"/>
      <c r="B603" s="1716"/>
      <c r="C603" s="1692"/>
      <c r="D603" s="1717"/>
      <c r="E603" s="1718"/>
      <c r="F603" s="1718">
        <v>6404</v>
      </c>
      <c r="G603" s="1700">
        <v>102684845</v>
      </c>
    </row>
    <row r="604" spans="1:7" x14ac:dyDescent="0.2">
      <c r="A604" s="1716"/>
      <c r="B604" s="1716"/>
      <c r="C604" s="1692"/>
      <c r="D604" s="1717"/>
      <c r="E604" s="1718"/>
      <c r="F604" s="1718">
        <v>6449</v>
      </c>
      <c r="G604" s="1700">
        <v>43142000</v>
      </c>
    </row>
    <row r="605" spans="1:7" x14ac:dyDescent="0.2">
      <c r="A605" s="1716"/>
      <c r="B605" s="1716"/>
      <c r="C605" s="1692"/>
      <c r="D605" s="1717"/>
      <c r="E605" s="1716" t="s">
        <v>1033</v>
      </c>
      <c r="F605" s="1718"/>
      <c r="G605" s="1700">
        <f>G606+G611+G615+G619+G623+G629+G634+G636+G639</f>
        <v>784923876</v>
      </c>
    </row>
    <row r="606" spans="1:7" x14ac:dyDescent="0.2">
      <c r="A606" s="1716"/>
      <c r="B606" s="1716"/>
      <c r="C606" s="1692"/>
      <c r="D606" s="1717"/>
      <c r="E606" s="1718">
        <v>6500</v>
      </c>
      <c r="F606" s="1718"/>
      <c r="G606" s="1700">
        <f>SUM(G607:G610)</f>
        <v>137518322</v>
      </c>
    </row>
    <row r="607" spans="1:7" x14ac:dyDescent="0.2">
      <c r="A607" s="1716"/>
      <c r="B607" s="1716"/>
      <c r="C607" s="1692"/>
      <c r="D607" s="1717"/>
      <c r="E607" s="1718"/>
      <c r="F607" s="1718">
        <v>6501</v>
      </c>
      <c r="G607" s="1700">
        <v>55101513</v>
      </c>
    </row>
    <row r="608" spans="1:7" x14ac:dyDescent="0.2">
      <c r="A608" s="1716"/>
      <c r="B608" s="1716"/>
      <c r="C608" s="1692"/>
      <c r="D608" s="1717"/>
      <c r="E608" s="1718"/>
      <c r="F608" s="1718">
        <v>6502</v>
      </c>
      <c r="G608" s="1700">
        <v>5740500</v>
      </c>
    </row>
    <row r="609" spans="1:7" x14ac:dyDescent="0.2">
      <c r="A609" s="1716"/>
      <c r="B609" s="1716"/>
      <c r="C609" s="1692"/>
      <c r="D609" s="1717"/>
      <c r="E609" s="1718"/>
      <c r="F609" s="1718">
        <v>6503</v>
      </c>
      <c r="G609" s="1700">
        <v>75676309</v>
      </c>
    </row>
    <row r="610" spans="1:7" x14ac:dyDescent="0.2">
      <c r="A610" s="1716"/>
      <c r="B610" s="1716"/>
      <c r="C610" s="1692"/>
      <c r="D610" s="1717"/>
      <c r="E610" s="1718"/>
      <c r="F610" s="1718">
        <v>6504</v>
      </c>
      <c r="G610" s="1700">
        <v>1000000</v>
      </c>
    </row>
    <row r="611" spans="1:7" x14ac:dyDescent="0.2">
      <c r="A611" s="1716"/>
      <c r="B611" s="1716"/>
      <c r="C611" s="1692"/>
      <c r="D611" s="1717"/>
      <c r="E611" s="1718">
        <v>6550</v>
      </c>
      <c r="F611" s="1718"/>
      <c r="G611" s="1700">
        <f>SUM(G612:G614)</f>
        <v>168990230</v>
      </c>
    </row>
    <row r="612" spans="1:7" x14ac:dyDescent="0.2">
      <c r="A612" s="1716"/>
      <c r="B612" s="1716"/>
      <c r="C612" s="1692"/>
      <c r="D612" s="1717"/>
      <c r="E612" s="1718"/>
      <c r="F612" s="1718">
        <v>6551</v>
      </c>
      <c r="G612" s="1700">
        <v>68173651</v>
      </c>
    </row>
    <row r="613" spans="1:7" x14ac:dyDescent="0.2">
      <c r="A613" s="1716"/>
      <c r="B613" s="1716"/>
      <c r="C613" s="1692"/>
      <c r="D613" s="1717"/>
      <c r="E613" s="1718"/>
      <c r="F613" s="1718">
        <v>6552</v>
      </c>
      <c r="G613" s="1700">
        <v>46303000</v>
      </c>
    </row>
    <row r="614" spans="1:7" x14ac:dyDescent="0.2">
      <c r="A614" s="1716"/>
      <c r="B614" s="1716"/>
      <c r="C614" s="1692"/>
      <c r="D614" s="1717"/>
      <c r="E614" s="1718"/>
      <c r="F614" s="1718">
        <v>6599</v>
      </c>
      <c r="G614" s="1723">
        <v>54513579</v>
      </c>
    </row>
    <row r="615" spans="1:7" x14ac:dyDescent="0.2">
      <c r="A615" s="1716"/>
      <c r="B615" s="1716"/>
      <c r="C615" s="1692"/>
      <c r="D615" s="1717"/>
      <c r="E615" s="1718">
        <v>6600</v>
      </c>
      <c r="F615" s="1718"/>
      <c r="G615" s="1700">
        <f>SUM(G616:G618)</f>
        <v>33148375</v>
      </c>
    </row>
    <row r="616" spans="1:7" x14ac:dyDescent="0.2">
      <c r="A616" s="1716"/>
      <c r="B616" s="1716"/>
      <c r="C616" s="1692"/>
      <c r="D616" s="1717"/>
      <c r="E616" s="1718"/>
      <c r="F616" s="1718">
        <v>6601</v>
      </c>
      <c r="G616" s="1700">
        <v>132000</v>
      </c>
    </row>
    <row r="617" spans="1:7" x14ac:dyDescent="0.2">
      <c r="A617" s="1716"/>
      <c r="B617" s="1716"/>
      <c r="C617" s="1692"/>
      <c r="D617" s="1717"/>
      <c r="E617" s="1718"/>
      <c r="F617" s="1718">
        <v>6603</v>
      </c>
      <c r="G617" s="1700">
        <v>2937236</v>
      </c>
    </row>
    <row r="618" spans="1:7" x14ac:dyDescent="0.2">
      <c r="A618" s="1716"/>
      <c r="B618" s="1716"/>
      <c r="C618" s="1692"/>
      <c r="D618" s="1717"/>
      <c r="E618" s="1718"/>
      <c r="F618" s="1718">
        <v>6605</v>
      </c>
      <c r="G618" s="1700">
        <v>30079139</v>
      </c>
    </row>
    <row r="619" spans="1:7" x14ac:dyDescent="0.2">
      <c r="A619" s="1716"/>
      <c r="B619" s="1716"/>
      <c r="C619" s="1692"/>
      <c r="D619" s="1717"/>
      <c r="E619" s="1718">
        <v>6650</v>
      </c>
      <c r="F619" s="1718"/>
      <c r="G619" s="1700">
        <f>SUM(G620:G622)</f>
        <v>121536990</v>
      </c>
    </row>
    <row r="620" spans="1:7" x14ac:dyDescent="0.2">
      <c r="A620" s="1716"/>
      <c r="B620" s="1716"/>
      <c r="C620" s="1692"/>
      <c r="D620" s="1717"/>
      <c r="E620" s="1718"/>
      <c r="F620" s="1718">
        <v>6652</v>
      </c>
      <c r="G620" s="1700">
        <v>2000000</v>
      </c>
    </row>
    <row r="621" spans="1:7" x14ac:dyDescent="0.2">
      <c r="A621" s="1716"/>
      <c r="B621" s="1716"/>
      <c r="C621" s="1692"/>
      <c r="D621" s="1717"/>
      <c r="E621" s="1718"/>
      <c r="F621" s="1718">
        <v>6657</v>
      </c>
      <c r="G621" s="1700">
        <v>3000000</v>
      </c>
    </row>
    <row r="622" spans="1:7" x14ac:dyDescent="0.2">
      <c r="A622" s="1716"/>
      <c r="B622" s="1716"/>
      <c r="C622" s="1692"/>
      <c r="D622" s="1717"/>
      <c r="E622" s="1718"/>
      <c r="F622" s="1718">
        <v>6699</v>
      </c>
      <c r="G622" s="1700">
        <v>116536990</v>
      </c>
    </row>
    <row r="623" spans="1:7" x14ac:dyDescent="0.2">
      <c r="A623" s="1716"/>
      <c r="B623" s="1716"/>
      <c r="C623" s="1692"/>
      <c r="D623" s="1717"/>
      <c r="E623" s="1718">
        <v>6700</v>
      </c>
      <c r="F623" s="1718"/>
      <c r="G623" s="1700">
        <f>SUM(G624:G628)</f>
        <v>52446000</v>
      </c>
    </row>
    <row r="624" spans="1:7" x14ac:dyDescent="0.2">
      <c r="A624" s="1716"/>
      <c r="B624" s="1716"/>
      <c r="C624" s="1692"/>
      <c r="D624" s="1717"/>
      <c r="E624" s="1718"/>
      <c r="F624" s="1718">
        <v>6701</v>
      </c>
      <c r="G624" s="1700">
        <v>5296000</v>
      </c>
    </row>
    <row r="625" spans="1:7" x14ac:dyDescent="0.2">
      <c r="A625" s="1716"/>
      <c r="B625" s="1716"/>
      <c r="C625" s="1692"/>
      <c r="D625" s="1717"/>
      <c r="E625" s="1718"/>
      <c r="F625" s="1718">
        <v>6702</v>
      </c>
      <c r="G625" s="1700">
        <v>23700000</v>
      </c>
    </row>
    <row r="626" spans="1:7" x14ac:dyDescent="0.2">
      <c r="A626" s="1716"/>
      <c r="B626" s="1716"/>
      <c r="C626" s="1692"/>
      <c r="D626" s="1717"/>
      <c r="E626" s="1718"/>
      <c r="F626" s="1718">
        <v>6703</v>
      </c>
      <c r="G626" s="1700">
        <v>9950000</v>
      </c>
    </row>
    <row r="627" spans="1:7" x14ac:dyDescent="0.2">
      <c r="A627" s="1716"/>
      <c r="B627" s="1716"/>
      <c r="C627" s="1692"/>
      <c r="D627" s="1717"/>
      <c r="E627" s="1718"/>
      <c r="F627" s="1718">
        <v>6704</v>
      </c>
      <c r="G627" s="1700">
        <v>8500000</v>
      </c>
    </row>
    <row r="628" spans="1:7" x14ac:dyDescent="0.2">
      <c r="A628" s="1716"/>
      <c r="B628" s="1716"/>
      <c r="C628" s="1692"/>
      <c r="D628" s="1717"/>
      <c r="E628" s="1718"/>
      <c r="F628" s="1718">
        <v>6749</v>
      </c>
      <c r="G628" s="1700">
        <v>5000000</v>
      </c>
    </row>
    <row r="629" spans="1:7" x14ac:dyDescent="0.2">
      <c r="A629" s="1716"/>
      <c r="B629" s="1716"/>
      <c r="C629" s="1692"/>
      <c r="D629" s="1717"/>
      <c r="E629" s="1718">
        <v>6900</v>
      </c>
      <c r="F629" s="1718"/>
      <c r="G629" s="1700">
        <f>SUM(G630:G633)</f>
        <v>80517759</v>
      </c>
    </row>
    <row r="630" spans="1:7" x14ac:dyDescent="0.2">
      <c r="A630" s="1716"/>
      <c r="B630" s="1716"/>
      <c r="C630" s="1692"/>
      <c r="D630" s="1717"/>
      <c r="E630" s="1718"/>
      <c r="F630" s="1718">
        <v>6901</v>
      </c>
      <c r="G630" s="1700">
        <v>19667419</v>
      </c>
    </row>
    <row r="631" spans="1:7" x14ac:dyDescent="0.2">
      <c r="A631" s="1716"/>
      <c r="B631" s="1716"/>
      <c r="C631" s="1692"/>
      <c r="D631" s="1717"/>
      <c r="E631" s="1718"/>
      <c r="F631" s="1718">
        <v>6912</v>
      </c>
      <c r="G631" s="1700">
        <v>15230440</v>
      </c>
    </row>
    <row r="632" spans="1:7" x14ac:dyDescent="0.2">
      <c r="A632" s="1716"/>
      <c r="B632" s="1716"/>
      <c r="C632" s="1692"/>
      <c r="D632" s="1717"/>
      <c r="E632" s="1718"/>
      <c r="F632" s="1718">
        <v>6913</v>
      </c>
      <c r="G632" s="1700">
        <v>31490300</v>
      </c>
    </row>
    <row r="633" spans="1:7" x14ac:dyDescent="0.2">
      <c r="A633" s="1716"/>
      <c r="B633" s="1716"/>
      <c r="C633" s="1692"/>
      <c r="D633" s="1717"/>
      <c r="E633" s="1718"/>
      <c r="F633" s="1718">
        <v>6921</v>
      </c>
      <c r="G633" s="1700">
        <v>14129600</v>
      </c>
    </row>
    <row r="634" spans="1:7" x14ac:dyDescent="0.2">
      <c r="A634" s="1716"/>
      <c r="B634" s="1716"/>
      <c r="C634" s="1692"/>
      <c r="D634" s="1717"/>
      <c r="E634" s="1718">
        <v>6950</v>
      </c>
      <c r="F634" s="1718"/>
      <c r="G634" s="1700">
        <f>G635</f>
        <v>17000000</v>
      </c>
    </row>
    <row r="635" spans="1:7" x14ac:dyDescent="0.2">
      <c r="A635" s="1716"/>
      <c r="B635" s="1716"/>
      <c r="C635" s="1692"/>
      <c r="D635" s="1717"/>
      <c r="E635" s="1718"/>
      <c r="F635" s="1718">
        <v>6956</v>
      </c>
      <c r="G635" s="1700">
        <v>17000000</v>
      </c>
    </row>
    <row r="636" spans="1:7" x14ac:dyDescent="0.2">
      <c r="A636" s="1716"/>
      <c r="B636" s="1716"/>
      <c r="C636" s="1692"/>
      <c r="D636" s="1717"/>
      <c r="E636" s="1718">
        <v>7000</v>
      </c>
      <c r="F636" s="1718"/>
      <c r="G636" s="1700">
        <f>SUM(G637:G638)</f>
        <v>162766200</v>
      </c>
    </row>
    <row r="637" spans="1:7" x14ac:dyDescent="0.2">
      <c r="A637" s="1716"/>
      <c r="B637" s="1716"/>
      <c r="C637" s="1692"/>
      <c r="D637" s="1717"/>
      <c r="E637" s="1718"/>
      <c r="F637" s="1718">
        <v>7001</v>
      </c>
      <c r="G637" s="1700">
        <v>3696200</v>
      </c>
    </row>
    <row r="638" spans="1:7" x14ac:dyDescent="0.2">
      <c r="A638" s="1716"/>
      <c r="B638" s="1716"/>
      <c r="C638" s="1692"/>
      <c r="D638" s="1717"/>
      <c r="E638" s="1718"/>
      <c r="F638" s="1718">
        <v>7049</v>
      </c>
      <c r="G638" s="1700">
        <v>159070000</v>
      </c>
    </row>
    <row r="639" spans="1:7" x14ac:dyDescent="0.2">
      <c r="A639" s="1716"/>
      <c r="B639" s="1716"/>
      <c r="C639" s="1692"/>
      <c r="D639" s="1717"/>
      <c r="E639" s="1718">
        <v>7050</v>
      </c>
      <c r="F639" s="1718"/>
      <c r="G639" s="1700">
        <f>G640</f>
        <v>11000000</v>
      </c>
    </row>
    <row r="640" spans="1:7" x14ac:dyDescent="0.2">
      <c r="A640" s="1716"/>
      <c r="B640" s="1716"/>
      <c r="C640" s="1692"/>
      <c r="D640" s="1717"/>
      <c r="E640" s="1718"/>
      <c r="F640" s="1718">
        <v>7053</v>
      </c>
      <c r="G640" s="1700">
        <v>11000000</v>
      </c>
    </row>
    <row r="641" spans="1:7" x14ac:dyDescent="0.2">
      <c r="A641" s="1716"/>
      <c r="B641" s="1716"/>
      <c r="C641" s="1692"/>
      <c r="D641" s="1717"/>
      <c r="E641" s="1716" t="s">
        <v>1034</v>
      </c>
      <c r="F641" s="1718"/>
      <c r="G641" s="1700">
        <f>G642+G646+G650</f>
        <v>2335408961</v>
      </c>
    </row>
    <row r="642" spans="1:7" x14ac:dyDescent="0.2">
      <c r="A642" s="1716"/>
      <c r="B642" s="1716"/>
      <c r="C642" s="1692"/>
      <c r="D642" s="1717"/>
      <c r="E642" s="1718">
        <v>7750</v>
      </c>
      <c r="F642" s="1718"/>
      <c r="G642" s="1700">
        <f>SUM(G643:G645)</f>
        <v>97589760</v>
      </c>
    </row>
    <row r="643" spans="1:7" x14ac:dyDescent="0.2">
      <c r="A643" s="1716"/>
      <c r="B643" s="1716"/>
      <c r="C643" s="1692"/>
      <c r="D643" s="1717"/>
      <c r="E643" s="1718"/>
      <c r="F643" s="1718">
        <v>7757</v>
      </c>
      <c r="G643" s="1700">
        <v>873400</v>
      </c>
    </row>
    <row r="644" spans="1:7" x14ac:dyDescent="0.2">
      <c r="A644" s="1716"/>
      <c r="B644" s="1716"/>
      <c r="C644" s="1692"/>
      <c r="D644" s="1717"/>
      <c r="E644" s="1718"/>
      <c r="F644" s="1718">
        <v>7761</v>
      </c>
      <c r="G644" s="1700">
        <v>64266060</v>
      </c>
    </row>
    <row r="645" spans="1:7" x14ac:dyDescent="0.2">
      <c r="A645" s="1716"/>
      <c r="B645" s="1716"/>
      <c r="C645" s="1692"/>
      <c r="D645" s="1717"/>
      <c r="E645" s="1718"/>
      <c r="F645" s="1718">
        <v>7799</v>
      </c>
      <c r="G645" s="1700">
        <v>32450300</v>
      </c>
    </row>
    <row r="646" spans="1:7" x14ac:dyDescent="0.2">
      <c r="A646" s="1716"/>
      <c r="B646" s="1716"/>
      <c r="C646" s="1692"/>
      <c r="D646" s="1717"/>
      <c r="E646" s="1718">
        <v>7850</v>
      </c>
      <c r="F646" s="1718"/>
      <c r="G646" s="1700">
        <f>SUM(G647:G649)</f>
        <v>835793576</v>
      </c>
    </row>
    <row r="647" spans="1:7" x14ac:dyDescent="0.2">
      <c r="A647" s="1716"/>
      <c r="B647" s="1716"/>
      <c r="C647" s="1692"/>
      <c r="D647" s="1717"/>
      <c r="E647" s="1718"/>
      <c r="F647" s="1718">
        <v>7851</v>
      </c>
      <c r="G647" s="1700">
        <v>35108200</v>
      </c>
    </row>
    <row r="648" spans="1:7" x14ac:dyDescent="0.2">
      <c r="A648" s="1716"/>
      <c r="B648" s="1716"/>
      <c r="C648" s="1692"/>
      <c r="D648" s="1717"/>
      <c r="E648" s="1718"/>
      <c r="F648" s="1718">
        <v>7852</v>
      </c>
      <c r="G648" s="1700">
        <v>490269376</v>
      </c>
    </row>
    <row r="649" spans="1:7" x14ac:dyDescent="0.2">
      <c r="A649" s="1716"/>
      <c r="B649" s="1716"/>
      <c r="C649" s="1692"/>
      <c r="D649" s="1717"/>
      <c r="E649" s="1718"/>
      <c r="F649" s="1718">
        <v>7854</v>
      </c>
      <c r="G649" s="1700">
        <v>310416000</v>
      </c>
    </row>
    <row r="650" spans="1:7" x14ac:dyDescent="0.2">
      <c r="A650" s="1716"/>
      <c r="B650" s="1716"/>
      <c r="C650" s="1692"/>
      <c r="D650" s="1717"/>
      <c r="E650" s="1718">
        <v>8000</v>
      </c>
      <c r="F650" s="1718"/>
      <c r="G650" s="1700">
        <f>G651</f>
        <v>1402025625</v>
      </c>
    </row>
    <row r="651" spans="1:7" x14ac:dyDescent="0.2">
      <c r="A651" s="1716"/>
      <c r="B651" s="1716"/>
      <c r="C651" s="1692"/>
      <c r="D651" s="1717"/>
      <c r="E651" s="1718"/>
      <c r="F651" s="1718">
        <v>8006</v>
      </c>
      <c r="G651" s="1723">
        <v>1402025625</v>
      </c>
    </row>
    <row r="652" spans="1:7" x14ac:dyDescent="0.2">
      <c r="A652" s="1716"/>
      <c r="B652" s="1716"/>
      <c r="C652" s="1692">
        <v>361</v>
      </c>
      <c r="D652" s="1717"/>
      <c r="E652" s="1718"/>
      <c r="F652" s="1718"/>
      <c r="G652" s="1700">
        <f>G653</f>
        <v>7340883089</v>
      </c>
    </row>
    <row r="653" spans="1:7" x14ac:dyDescent="0.2">
      <c r="A653" s="1716"/>
      <c r="B653" s="1716"/>
      <c r="C653" s="1692"/>
      <c r="D653" s="1717">
        <v>361</v>
      </c>
      <c r="E653" s="1718"/>
      <c r="F653" s="1718"/>
      <c r="G653" s="1700">
        <f>G654</f>
        <v>7340883089</v>
      </c>
    </row>
    <row r="654" spans="1:7" x14ac:dyDescent="0.2">
      <c r="A654" s="1716"/>
      <c r="B654" s="1716"/>
      <c r="C654" s="1692"/>
      <c r="D654" s="1717"/>
      <c r="E654" s="1716" t="s">
        <v>1031</v>
      </c>
      <c r="F654" s="1718"/>
      <c r="G654" s="1700">
        <f>G655+G677+G705</f>
        <v>7340883089</v>
      </c>
    </row>
    <row r="655" spans="1:7" x14ac:dyDescent="0.2">
      <c r="A655" s="1716"/>
      <c r="B655" s="1716"/>
      <c r="C655" s="1692"/>
      <c r="D655" s="1717"/>
      <c r="E655" s="1716" t="s">
        <v>1032</v>
      </c>
      <c r="F655" s="1718"/>
      <c r="G655" s="1700">
        <f>G656+G658+G667+G669+G671+G674</f>
        <v>2423356978</v>
      </c>
    </row>
    <row r="656" spans="1:7" x14ac:dyDescent="0.2">
      <c r="A656" s="1716"/>
      <c r="B656" s="1716"/>
      <c r="C656" s="1692"/>
      <c r="D656" s="1717"/>
      <c r="E656" s="1718">
        <v>6000</v>
      </c>
      <c r="F656" s="1718"/>
      <c r="G656" s="1700">
        <f>G657</f>
        <v>586842306</v>
      </c>
    </row>
    <row r="657" spans="1:7" x14ac:dyDescent="0.2">
      <c r="A657" s="1716"/>
      <c r="B657" s="1716"/>
      <c r="C657" s="1692"/>
      <c r="D657" s="1717"/>
      <c r="E657" s="1718"/>
      <c r="F657" s="1718">
        <v>6001</v>
      </c>
      <c r="G657" s="1700">
        <v>586842306</v>
      </c>
    </row>
    <row r="658" spans="1:7" x14ac:dyDescent="0.2">
      <c r="A658" s="1716"/>
      <c r="B658" s="1716"/>
      <c r="C658" s="1692"/>
      <c r="D658" s="1717"/>
      <c r="E658" s="1718">
        <v>6100</v>
      </c>
      <c r="F658" s="1718"/>
      <c r="G658" s="1700">
        <f>SUM(G659:G666)</f>
        <v>281916898</v>
      </c>
    </row>
    <row r="659" spans="1:7" x14ac:dyDescent="0.2">
      <c r="A659" s="1716"/>
      <c r="B659" s="1716"/>
      <c r="C659" s="1692"/>
      <c r="D659" s="1717"/>
      <c r="E659" s="1718"/>
      <c r="F659" s="1718">
        <v>6101</v>
      </c>
      <c r="G659" s="1700">
        <v>29484000</v>
      </c>
    </row>
    <row r="660" spans="1:7" x14ac:dyDescent="0.2">
      <c r="A660" s="1716"/>
      <c r="B660" s="1716"/>
      <c r="C660" s="1692"/>
      <c r="D660" s="1717"/>
      <c r="E660" s="1718"/>
      <c r="F660" s="1718">
        <v>6102</v>
      </c>
      <c r="G660" s="1700">
        <v>50544000</v>
      </c>
    </row>
    <row r="661" spans="1:7" x14ac:dyDescent="0.2">
      <c r="A661" s="1716"/>
      <c r="B661" s="1716"/>
      <c r="C661" s="1692"/>
      <c r="D661" s="1717"/>
      <c r="E661" s="1718"/>
      <c r="F661" s="1718">
        <v>6105</v>
      </c>
      <c r="G661" s="1700">
        <v>1871337</v>
      </c>
    </row>
    <row r="662" spans="1:7" x14ac:dyDescent="0.2">
      <c r="A662" s="1716"/>
      <c r="B662" s="1716"/>
      <c r="C662" s="1692"/>
      <c r="D662" s="1717"/>
      <c r="E662" s="1718"/>
      <c r="F662" s="1718">
        <v>6113</v>
      </c>
      <c r="G662" s="1700">
        <v>2106000</v>
      </c>
    </row>
    <row r="663" spans="1:7" x14ac:dyDescent="0.2">
      <c r="A663" s="1716"/>
      <c r="B663" s="1716"/>
      <c r="C663" s="1692"/>
      <c r="D663" s="1717"/>
      <c r="E663" s="1718"/>
      <c r="F663" s="1718">
        <v>6115</v>
      </c>
      <c r="G663" s="1700">
        <v>1054615</v>
      </c>
    </row>
    <row r="664" spans="1:7" x14ac:dyDescent="0.2">
      <c r="A664" s="1716"/>
      <c r="B664" s="1716"/>
      <c r="C664" s="1692"/>
      <c r="D664" s="1717"/>
      <c r="E664" s="1718"/>
      <c r="F664" s="1718">
        <v>6123</v>
      </c>
      <c r="G664" s="1700">
        <v>40405716</v>
      </c>
    </row>
    <row r="665" spans="1:7" x14ac:dyDescent="0.2">
      <c r="A665" s="1716"/>
      <c r="B665" s="1716"/>
      <c r="C665" s="1692"/>
      <c r="D665" s="1717"/>
      <c r="E665" s="1718"/>
      <c r="F665" s="1718">
        <v>6124</v>
      </c>
      <c r="G665" s="1700">
        <v>154345230</v>
      </c>
    </row>
    <row r="666" spans="1:7" x14ac:dyDescent="0.2">
      <c r="A666" s="1716"/>
      <c r="B666" s="1716"/>
      <c r="C666" s="1692"/>
      <c r="D666" s="1717"/>
      <c r="E666" s="1718"/>
      <c r="F666" s="1718">
        <v>6149</v>
      </c>
      <c r="G666" s="1700">
        <v>2106000</v>
      </c>
    </row>
    <row r="667" spans="1:7" x14ac:dyDescent="0.2">
      <c r="A667" s="1716"/>
      <c r="B667" s="1716"/>
      <c r="C667" s="1692"/>
      <c r="D667" s="1717"/>
      <c r="E667" s="1718">
        <v>6200</v>
      </c>
      <c r="F667" s="1718"/>
      <c r="G667" s="1700">
        <f>G668</f>
        <v>112200000</v>
      </c>
    </row>
    <row r="668" spans="1:7" x14ac:dyDescent="0.2">
      <c r="A668" s="1716"/>
      <c r="B668" s="1716"/>
      <c r="C668" s="1692"/>
      <c r="D668" s="1717"/>
      <c r="E668" s="1718"/>
      <c r="F668" s="1718">
        <v>6201</v>
      </c>
      <c r="G668" s="1700">
        <v>112200000</v>
      </c>
    </row>
    <row r="669" spans="1:7" x14ac:dyDescent="0.2">
      <c r="A669" s="1716"/>
      <c r="B669" s="1716"/>
      <c r="C669" s="1692"/>
      <c r="D669" s="1717"/>
      <c r="E669" s="1718">
        <v>6250</v>
      </c>
      <c r="F669" s="1718"/>
      <c r="G669" s="1700">
        <f>G670</f>
        <v>36280000</v>
      </c>
    </row>
    <row r="670" spans="1:7" x14ac:dyDescent="0.2">
      <c r="A670" s="1716"/>
      <c r="B670" s="1716"/>
      <c r="C670" s="1692"/>
      <c r="D670" s="1717"/>
      <c r="E670" s="1718"/>
      <c r="F670" s="1718">
        <v>6299</v>
      </c>
      <c r="G670" s="1700">
        <v>36280000</v>
      </c>
    </row>
    <row r="671" spans="1:7" x14ac:dyDescent="0.2">
      <c r="A671" s="1716"/>
      <c r="B671" s="1716"/>
      <c r="C671" s="1692"/>
      <c r="D671" s="1717"/>
      <c r="E671" s="1718">
        <v>6300</v>
      </c>
      <c r="F671" s="1718"/>
      <c r="G671" s="1700">
        <f>SUM(G672:G673)</f>
        <v>200194574</v>
      </c>
    </row>
    <row r="672" spans="1:7" x14ac:dyDescent="0.2">
      <c r="A672" s="1716"/>
      <c r="B672" s="1716"/>
      <c r="C672" s="1692"/>
      <c r="D672" s="1717"/>
      <c r="E672" s="1718"/>
      <c r="F672" s="1718">
        <v>6301</v>
      </c>
      <c r="G672" s="1700">
        <v>175640752</v>
      </c>
    </row>
    <row r="673" spans="1:7" x14ac:dyDescent="0.2">
      <c r="A673" s="1716"/>
      <c r="B673" s="1716"/>
      <c r="C673" s="1692"/>
      <c r="D673" s="1717"/>
      <c r="E673" s="1718"/>
      <c r="F673" s="1718">
        <v>6302</v>
      </c>
      <c r="G673" s="1700">
        <v>24553822</v>
      </c>
    </row>
    <row r="674" spans="1:7" x14ac:dyDescent="0.2">
      <c r="A674" s="1716"/>
      <c r="B674" s="1716"/>
      <c r="C674" s="1692"/>
      <c r="D674" s="1717"/>
      <c r="E674" s="1718">
        <v>6350</v>
      </c>
      <c r="F674" s="1718"/>
      <c r="G674" s="1700">
        <f>SUM(G675:G676)</f>
        <v>1205923200</v>
      </c>
    </row>
    <row r="675" spans="1:7" x14ac:dyDescent="0.2">
      <c r="A675" s="1716"/>
      <c r="B675" s="1716"/>
      <c r="C675" s="1692"/>
      <c r="D675" s="1717"/>
      <c r="E675" s="1718"/>
      <c r="F675" s="1718">
        <v>6353</v>
      </c>
      <c r="G675" s="1700">
        <v>1042723200</v>
      </c>
    </row>
    <row r="676" spans="1:7" x14ac:dyDescent="0.2">
      <c r="A676" s="1716"/>
      <c r="B676" s="1716"/>
      <c r="C676" s="1692"/>
      <c r="D676" s="1717"/>
      <c r="E676" s="1718"/>
      <c r="F676" s="1718">
        <v>6399</v>
      </c>
      <c r="G676" s="1700">
        <v>163200000</v>
      </c>
    </row>
    <row r="677" spans="1:7" x14ac:dyDescent="0.2">
      <c r="A677" s="1716"/>
      <c r="B677" s="1716"/>
      <c r="C677" s="1692"/>
      <c r="D677" s="1717"/>
      <c r="E677" s="1716" t="s">
        <v>1033</v>
      </c>
      <c r="F677" s="1718"/>
      <c r="G677" s="1700">
        <f>G678+G681+G684+G687+G691+G696+G700+G703</f>
        <v>723262912</v>
      </c>
    </row>
    <row r="678" spans="1:7" x14ac:dyDescent="0.2">
      <c r="A678" s="1716"/>
      <c r="B678" s="1716"/>
      <c r="C678" s="1692"/>
      <c r="D678" s="1717"/>
      <c r="E678" s="1718">
        <v>6500</v>
      </c>
      <c r="F678" s="1718"/>
      <c r="G678" s="1700">
        <f>SUM(G679:G680)</f>
        <v>17683732</v>
      </c>
    </row>
    <row r="679" spans="1:7" x14ac:dyDescent="0.2">
      <c r="A679" s="1716"/>
      <c r="B679" s="1716"/>
      <c r="C679" s="1692"/>
      <c r="D679" s="1717"/>
      <c r="E679" s="1718"/>
      <c r="F679" s="1718">
        <v>6501</v>
      </c>
      <c r="G679" s="1700">
        <v>10683732</v>
      </c>
    </row>
    <row r="680" spans="1:7" x14ac:dyDescent="0.2">
      <c r="A680" s="1716"/>
      <c r="B680" s="1716"/>
      <c r="C680" s="1692"/>
      <c r="D680" s="1717"/>
      <c r="E680" s="1718"/>
      <c r="F680" s="1718">
        <v>6505</v>
      </c>
      <c r="G680" s="1700">
        <v>7000000</v>
      </c>
    </row>
    <row r="681" spans="1:7" x14ac:dyDescent="0.2">
      <c r="A681" s="1716"/>
      <c r="B681" s="1716"/>
      <c r="C681" s="1692"/>
      <c r="D681" s="1717"/>
      <c r="E681" s="1718">
        <v>6550</v>
      </c>
      <c r="F681" s="1718"/>
      <c r="G681" s="1700">
        <f>SUM(G682:G683)</f>
        <v>33771500</v>
      </c>
    </row>
    <row r="682" spans="1:7" x14ac:dyDescent="0.2">
      <c r="A682" s="1716"/>
      <c r="B682" s="1716"/>
      <c r="C682" s="1692"/>
      <c r="D682" s="1717"/>
      <c r="E682" s="1718"/>
      <c r="F682" s="1718">
        <v>6551</v>
      </c>
      <c r="G682" s="1700">
        <v>26846500</v>
      </c>
    </row>
    <row r="683" spans="1:7" x14ac:dyDescent="0.2">
      <c r="A683" s="1716"/>
      <c r="B683" s="1716"/>
      <c r="C683" s="1692"/>
      <c r="D683" s="1717"/>
      <c r="E683" s="1718"/>
      <c r="F683" s="1718">
        <v>6599</v>
      </c>
      <c r="G683" s="1700">
        <v>6925000</v>
      </c>
    </row>
    <row r="684" spans="1:7" x14ac:dyDescent="0.2">
      <c r="A684" s="1716"/>
      <c r="B684" s="1716"/>
      <c r="C684" s="1692"/>
      <c r="D684" s="1717"/>
      <c r="E684" s="1718">
        <v>6600</v>
      </c>
      <c r="F684" s="1718"/>
      <c r="G684" s="1700">
        <f>SUM(G685:G686)</f>
        <v>3363480</v>
      </c>
    </row>
    <row r="685" spans="1:7" x14ac:dyDescent="0.2">
      <c r="A685" s="1716"/>
      <c r="B685" s="1716"/>
      <c r="C685" s="1692"/>
      <c r="D685" s="1717"/>
      <c r="E685" s="1718"/>
      <c r="F685" s="1718">
        <v>6603</v>
      </c>
      <c r="G685" s="1700">
        <v>2136360</v>
      </c>
    </row>
    <row r="686" spans="1:7" x14ac:dyDescent="0.2">
      <c r="A686" s="1716"/>
      <c r="B686" s="1716"/>
      <c r="C686" s="1692"/>
      <c r="D686" s="1717"/>
      <c r="E686" s="1718"/>
      <c r="F686" s="1718">
        <v>6606</v>
      </c>
      <c r="G686" s="1700">
        <v>1227120</v>
      </c>
    </row>
    <row r="687" spans="1:7" x14ac:dyDescent="0.2">
      <c r="A687" s="1716"/>
      <c r="B687" s="1716"/>
      <c r="C687" s="1692"/>
      <c r="D687" s="1717"/>
      <c r="E687" s="1718">
        <v>6650</v>
      </c>
      <c r="F687" s="1718"/>
      <c r="G687" s="1700">
        <f>SUM(G688:G690)</f>
        <v>572012800</v>
      </c>
    </row>
    <row r="688" spans="1:7" x14ac:dyDescent="0.2">
      <c r="A688" s="1716"/>
      <c r="B688" s="1716"/>
      <c r="C688" s="1692"/>
      <c r="D688" s="1717"/>
      <c r="E688" s="1718"/>
      <c r="F688" s="1718">
        <v>6651</v>
      </c>
      <c r="G688" s="1723">
        <v>32764800</v>
      </c>
    </row>
    <row r="689" spans="1:7" x14ac:dyDescent="0.2">
      <c r="A689" s="1716"/>
      <c r="B689" s="1716"/>
      <c r="C689" s="1692"/>
      <c r="D689" s="1717"/>
      <c r="E689" s="1718"/>
      <c r="F689" s="1718">
        <v>6658</v>
      </c>
      <c r="G689" s="1700">
        <v>1456000</v>
      </c>
    </row>
    <row r="690" spans="1:7" x14ac:dyDescent="0.2">
      <c r="A690" s="1716"/>
      <c r="B690" s="1716"/>
      <c r="C690" s="1692"/>
      <c r="D690" s="1717"/>
      <c r="E690" s="1718"/>
      <c r="F690" s="1718">
        <v>6699</v>
      </c>
      <c r="G690" s="1700">
        <v>537792000</v>
      </c>
    </row>
    <row r="691" spans="1:7" x14ac:dyDescent="0.2">
      <c r="A691" s="1716"/>
      <c r="B691" s="1716"/>
      <c r="C691" s="1692"/>
      <c r="D691" s="1717"/>
      <c r="E691" s="1718">
        <v>6700</v>
      </c>
      <c r="F691" s="1718"/>
      <c r="G691" s="1700">
        <f>SUM(G692:G695)</f>
        <v>22085000</v>
      </c>
    </row>
    <row r="692" spans="1:7" x14ac:dyDescent="0.2">
      <c r="A692" s="1716"/>
      <c r="B692" s="1716"/>
      <c r="C692" s="1692"/>
      <c r="D692" s="1717"/>
      <c r="E692" s="1718"/>
      <c r="F692" s="1718">
        <v>6701</v>
      </c>
      <c r="G692" s="1700">
        <v>1920000</v>
      </c>
    </row>
    <row r="693" spans="1:7" x14ac:dyDescent="0.2">
      <c r="A693" s="1716"/>
      <c r="B693" s="1716"/>
      <c r="C693" s="1692"/>
      <c r="D693" s="1717"/>
      <c r="E693" s="1718"/>
      <c r="F693" s="1718">
        <v>6702</v>
      </c>
      <c r="G693" s="1700">
        <v>13500000</v>
      </c>
    </row>
    <row r="694" spans="1:7" x14ac:dyDescent="0.2">
      <c r="A694" s="1716"/>
      <c r="B694" s="1716"/>
      <c r="C694" s="1692"/>
      <c r="D694" s="1717"/>
      <c r="E694" s="1718"/>
      <c r="F694" s="1718">
        <v>6703</v>
      </c>
      <c r="G694" s="1700">
        <v>5165000</v>
      </c>
    </row>
    <row r="695" spans="1:7" x14ac:dyDescent="0.2">
      <c r="A695" s="1716"/>
      <c r="B695" s="1716"/>
      <c r="C695" s="1692"/>
      <c r="D695" s="1717"/>
      <c r="E695" s="1718"/>
      <c r="F695" s="1718">
        <v>6704</v>
      </c>
      <c r="G695" s="1700">
        <v>1500000</v>
      </c>
    </row>
    <row r="696" spans="1:7" x14ac:dyDescent="0.2">
      <c r="A696" s="1716"/>
      <c r="B696" s="1716"/>
      <c r="C696" s="1692"/>
      <c r="D696" s="1717"/>
      <c r="E696" s="1718">
        <v>6900</v>
      </c>
      <c r="F696" s="1718"/>
      <c r="G696" s="1700">
        <f>SUM(G697:G699)</f>
        <v>17571400</v>
      </c>
    </row>
    <row r="697" spans="1:7" x14ac:dyDescent="0.2">
      <c r="A697" s="1716"/>
      <c r="B697" s="1716"/>
      <c r="C697" s="1692"/>
      <c r="D697" s="1717"/>
      <c r="E697" s="1718"/>
      <c r="F697" s="1718">
        <v>6912</v>
      </c>
      <c r="G697" s="1700">
        <v>13370600</v>
      </c>
    </row>
    <row r="698" spans="1:7" x14ac:dyDescent="0.2">
      <c r="A698" s="1716"/>
      <c r="B698" s="1716"/>
      <c r="C698" s="1692"/>
      <c r="D698" s="1717"/>
      <c r="E698" s="1718"/>
      <c r="F698" s="1718">
        <v>6913</v>
      </c>
      <c r="G698" s="1700">
        <v>2890800</v>
      </c>
    </row>
    <row r="699" spans="1:7" x14ac:dyDescent="0.2">
      <c r="A699" s="1716"/>
      <c r="B699" s="1716"/>
      <c r="C699" s="1692"/>
      <c r="D699" s="1717"/>
      <c r="E699" s="1718"/>
      <c r="F699" s="1718">
        <v>6921</v>
      </c>
      <c r="G699" s="1700">
        <v>1310000</v>
      </c>
    </row>
    <row r="700" spans="1:7" x14ac:dyDescent="0.2">
      <c r="A700" s="1716"/>
      <c r="B700" s="1716"/>
      <c r="C700" s="1692"/>
      <c r="D700" s="1717"/>
      <c r="E700" s="1718">
        <v>7000</v>
      </c>
      <c r="F700" s="1718"/>
      <c r="G700" s="1700">
        <f>SUM(G701:G702)</f>
        <v>45775000</v>
      </c>
    </row>
    <row r="701" spans="1:7" x14ac:dyDescent="0.2">
      <c r="A701" s="1716"/>
      <c r="B701" s="1716"/>
      <c r="C701" s="1692"/>
      <c r="D701" s="1717"/>
      <c r="E701" s="1718"/>
      <c r="F701" s="1718">
        <v>7001</v>
      </c>
      <c r="G701" s="1700">
        <v>12756000</v>
      </c>
    </row>
    <row r="702" spans="1:7" x14ac:dyDescent="0.2">
      <c r="A702" s="1716"/>
      <c r="B702" s="1716"/>
      <c r="C702" s="1692"/>
      <c r="D702" s="1717"/>
      <c r="E702" s="1718"/>
      <c r="F702" s="1718">
        <v>7049</v>
      </c>
      <c r="G702" s="1700">
        <v>33019000</v>
      </c>
    </row>
    <row r="703" spans="1:7" x14ac:dyDescent="0.2">
      <c r="A703" s="1716"/>
      <c r="B703" s="1716"/>
      <c r="C703" s="1692"/>
      <c r="D703" s="1717"/>
      <c r="E703" s="1718">
        <v>7050</v>
      </c>
      <c r="F703" s="1718"/>
      <c r="G703" s="1700">
        <f>SUM(G704)</f>
        <v>11000000</v>
      </c>
    </row>
    <row r="704" spans="1:7" x14ac:dyDescent="0.2">
      <c r="A704" s="1716"/>
      <c r="B704" s="1716"/>
      <c r="C704" s="1692"/>
      <c r="D704" s="1717"/>
      <c r="E704" s="1718"/>
      <c r="F704" s="1718">
        <v>7053</v>
      </c>
      <c r="G704" s="1700">
        <v>11000000</v>
      </c>
    </row>
    <row r="705" spans="1:7" x14ac:dyDescent="0.2">
      <c r="A705" s="1716"/>
      <c r="B705" s="1716"/>
      <c r="C705" s="1692"/>
      <c r="D705" s="1717"/>
      <c r="E705" s="1716" t="s">
        <v>1034</v>
      </c>
      <c r="F705" s="1718"/>
      <c r="G705" s="1700">
        <f>G706+G709</f>
        <v>4194263199</v>
      </c>
    </row>
    <row r="706" spans="1:7" x14ac:dyDescent="0.2">
      <c r="A706" s="1716"/>
      <c r="B706" s="1716"/>
      <c r="C706" s="1692"/>
      <c r="D706" s="1717"/>
      <c r="E706" s="1718">
        <v>7750</v>
      </c>
      <c r="F706" s="1718"/>
      <c r="G706" s="1700">
        <f>SUM(G707:G708)</f>
        <v>776905000</v>
      </c>
    </row>
    <row r="707" spans="1:7" x14ac:dyDescent="0.2">
      <c r="A707" s="1716"/>
      <c r="B707" s="1716"/>
      <c r="C707" s="1692"/>
      <c r="D707" s="1717"/>
      <c r="E707" s="1718"/>
      <c r="F707" s="1718">
        <v>7761</v>
      </c>
      <c r="G707" s="1700">
        <v>15904000</v>
      </c>
    </row>
    <row r="708" spans="1:7" x14ac:dyDescent="0.2">
      <c r="A708" s="1716"/>
      <c r="B708" s="1716"/>
      <c r="C708" s="1692"/>
      <c r="D708" s="1717"/>
      <c r="E708" s="1718"/>
      <c r="F708" s="1718">
        <v>7799</v>
      </c>
      <c r="G708" s="1700">
        <v>761001000</v>
      </c>
    </row>
    <row r="709" spans="1:7" x14ac:dyDescent="0.2">
      <c r="A709" s="1716"/>
      <c r="B709" s="1716"/>
      <c r="C709" s="1692"/>
      <c r="D709" s="1717"/>
      <c r="E709" s="1718">
        <v>8000</v>
      </c>
      <c r="F709" s="1718"/>
      <c r="G709" s="1700">
        <f>SUM(G710:G711)</f>
        <v>3417358199</v>
      </c>
    </row>
    <row r="710" spans="1:7" x14ac:dyDescent="0.2">
      <c r="A710" s="1716"/>
      <c r="B710" s="1716"/>
      <c r="C710" s="1692"/>
      <c r="D710" s="1717"/>
      <c r="E710" s="1718"/>
      <c r="F710" s="1718">
        <v>8006</v>
      </c>
      <c r="G710" s="1700">
        <v>3372679409</v>
      </c>
    </row>
    <row r="711" spans="1:7" x14ac:dyDescent="0.2">
      <c r="A711" s="1716"/>
      <c r="B711" s="1716"/>
      <c r="C711" s="1692"/>
      <c r="D711" s="1717"/>
      <c r="E711" s="1718"/>
      <c r="F711" s="1718">
        <v>8049</v>
      </c>
      <c r="G711" s="1700">
        <v>44678790</v>
      </c>
    </row>
    <row r="712" spans="1:7" x14ac:dyDescent="0.2">
      <c r="A712" s="1716"/>
      <c r="B712" s="1716"/>
      <c r="C712" s="1692">
        <v>362</v>
      </c>
      <c r="D712" s="1717"/>
      <c r="E712" s="1718"/>
      <c r="F712" s="1718"/>
      <c r="G712" s="1700">
        <f>G713</f>
        <v>583482244</v>
      </c>
    </row>
    <row r="713" spans="1:7" x14ac:dyDescent="0.2">
      <c r="A713" s="1716"/>
      <c r="B713" s="1716"/>
      <c r="C713" s="1692"/>
      <c r="D713" s="1717">
        <v>362</v>
      </c>
      <c r="E713" s="1718"/>
      <c r="F713" s="1718"/>
      <c r="G713" s="1700">
        <f>G714</f>
        <v>583482244</v>
      </c>
    </row>
    <row r="714" spans="1:7" x14ac:dyDescent="0.2">
      <c r="A714" s="1716"/>
      <c r="B714" s="1716"/>
      <c r="C714" s="1692"/>
      <c r="D714" s="1717"/>
      <c r="E714" s="1716" t="s">
        <v>1031</v>
      </c>
      <c r="F714" s="1718"/>
      <c r="G714" s="1700">
        <f>G715+G721+G728</f>
        <v>583482244</v>
      </c>
    </row>
    <row r="715" spans="1:7" x14ac:dyDescent="0.2">
      <c r="A715" s="1716"/>
      <c r="B715" s="1716"/>
      <c r="C715" s="1692"/>
      <c r="D715" s="1717"/>
      <c r="E715" s="1716" t="s">
        <v>1032</v>
      </c>
      <c r="F715" s="1718"/>
      <c r="G715" s="1700">
        <f>G716+G719</f>
        <v>112352400</v>
      </c>
    </row>
    <row r="716" spans="1:7" x14ac:dyDescent="0.2">
      <c r="A716" s="1716"/>
      <c r="B716" s="1716"/>
      <c r="C716" s="1692"/>
      <c r="D716" s="1717"/>
      <c r="E716" s="1718">
        <v>6300</v>
      </c>
      <c r="F716" s="1718"/>
      <c r="G716" s="1700">
        <f>SUM(G717:G718)</f>
        <v>4352400</v>
      </c>
    </row>
    <row r="717" spans="1:7" x14ac:dyDescent="0.2">
      <c r="A717" s="1716"/>
      <c r="B717" s="1716"/>
      <c r="C717" s="1692"/>
      <c r="D717" s="1717"/>
      <c r="E717" s="1718"/>
      <c r="F717" s="1718">
        <v>6301</v>
      </c>
      <c r="G717" s="1700">
        <v>3931200</v>
      </c>
    </row>
    <row r="718" spans="1:7" x14ac:dyDescent="0.2">
      <c r="A718" s="1716"/>
      <c r="B718" s="1716"/>
      <c r="C718" s="1692"/>
      <c r="D718" s="1717"/>
      <c r="E718" s="1718"/>
      <c r="F718" s="1718">
        <v>6302</v>
      </c>
      <c r="G718" s="1700">
        <v>421200</v>
      </c>
    </row>
    <row r="719" spans="1:7" x14ac:dyDescent="0.2">
      <c r="A719" s="1716"/>
      <c r="B719" s="1716"/>
      <c r="C719" s="1692"/>
      <c r="D719" s="1717"/>
      <c r="E719" s="1718">
        <v>6350</v>
      </c>
      <c r="F719" s="1718"/>
      <c r="G719" s="1700">
        <f>SUM(G720)</f>
        <v>108000000</v>
      </c>
    </row>
    <row r="720" spans="1:7" x14ac:dyDescent="0.2">
      <c r="A720" s="1716"/>
      <c r="B720" s="1716"/>
      <c r="C720" s="1692"/>
      <c r="D720" s="1717"/>
      <c r="E720" s="1718"/>
      <c r="F720" s="1718">
        <v>6353</v>
      </c>
      <c r="G720" s="1700">
        <v>108000000</v>
      </c>
    </row>
    <row r="721" spans="1:7" x14ac:dyDescent="0.2">
      <c r="A721" s="1716"/>
      <c r="B721" s="1716"/>
      <c r="C721" s="1692"/>
      <c r="D721" s="1717"/>
      <c r="E721" s="1716" t="s">
        <v>1033</v>
      </c>
      <c r="F721" s="1718"/>
      <c r="G721" s="1700">
        <f>G722+G724+G726</f>
        <v>65007500</v>
      </c>
    </row>
    <row r="722" spans="1:7" x14ac:dyDescent="0.2">
      <c r="A722" s="1716"/>
      <c r="B722" s="1716"/>
      <c r="C722" s="1692"/>
      <c r="D722" s="1717"/>
      <c r="E722" s="1718">
        <v>6550</v>
      </c>
      <c r="F722" s="1718"/>
      <c r="G722" s="1700">
        <f>SUM(G723)</f>
        <v>3037500</v>
      </c>
    </row>
    <row r="723" spans="1:7" x14ac:dyDescent="0.2">
      <c r="A723" s="1716"/>
      <c r="B723" s="1716"/>
      <c r="C723" s="1692"/>
      <c r="D723" s="1717"/>
      <c r="E723" s="1718"/>
      <c r="F723" s="1718">
        <v>6551</v>
      </c>
      <c r="G723" s="1700">
        <v>3037500</v>
      </c>
    </row>
    <row r="724" spans="1:7" x14ac:dyDescent="0.2">
      <c r="A724" s="1716"/>
      <c r="B724" s="1716"/>
      <c r="C724" s="1692"/>
      <c r="D724" s="1717"/>
      <c r="E724" s="1718">
        <v>6650</v>
      </c>
      <c r="F724" s="1718"/>
      <c r="G724" s="1700">
        <f>G725</f>
        <v>10570000</v>
      </c>
    </row>
    <row r="725" spans="1:7" x14ac:dyDescent="0.2">
      <c r="A725" s="1716"/>
      <c r="B725" s="1716"/>
      <c r="C725" s="1692"/>
      <c r="D725" s="1717"/>
      <c r="E725" s="1718"/>
      <c r="F725" s="1718">
        <v>6699</v>
      </c>
      <c r="G725" s="1700">
        <v>10570000</v>
      </c>
    </row>
    <row r="726" spans="1:7" x14ac:dyDescent="0.2">
      <c r="A726" s="1716"/>
      <c r="B726" s="1716"/>
      <c r="C726" s="1692"/>
      <c r="D726" s="1717"/>
      <c r="E726" s="1718">
        <v>7000</v>
      </c>
      <c r="F726" s="1718"/>
      <c r="G726" s="1700">
        <f>G727</f>
        <v>51400000</v>
      </c>
    </row>
    <row r="727" spans="1:7" x14ac:dyDescent="0.2">
      <c r="A727" s="1716"/>
      <c r="B727" s="1716"/>
      <c r="C727" s="1692"/>
      <c r="D727" s="1717"/>
      <c r="E727" s="1718"/>
      <c r="F727" s="1718">
        <v>7049</v>
      </c>
      <c r="G727" s="1700">
        <v>51400000</v>
      </c>
    </row>
    <row r="728" spans="1:7" x14ac:dyDescent="0.2">
      <c r="A728" s="1716"/>
      <c r="B728" s="1716"/>
      <c r="C728" s="1692"/>
      <c r="D728" s="1717"/>
      <c r="E728" s="1716" t="s">
        <v>1034</v>
      </c>
      <c r="F728" s="1718"/>
      <c r="G728" s="1700">
        <f>G729</f>
        <v>406122344</v>
      </c>
    </row>
    <row r="729" spans="1:7" x14ac:dyDescent="0.2">
      <c r="A729" s="1716"/>
      <c r="B729" s="1716"/>
      <c r="C729" s="1692"/>
      <c r="D729" s="1717"/>
      <c r="E729" s="1718">
        <v>7750</v>
      </c>
      <c r="F729" s="1718"/>
      <c r="G729" s="1700">
        <f>G730</f>
        <v>406122344</v>
      </c>
    </row>
    <row r="730" spans="1:7" x14ac:dyDescent="0.2">
      <c r="A730" s="1716"/>
      <c r="B730" s="1716"/>
      <c r="C730" s="1692"/>
      <c r="D730" s="1717"/>
      <c r="E730" s="1718"/>
      <c r="F730" s="1718">
        <v>7799</v>
      </c>
      <c r="G730" s="1700">
        <v>406122344</v>
      </c>
    </row>
    <row r="731" spans="1:7" x14ac:dyDescent="0.2">
      <c r="A731" s="1716"/>
      <c r="B731" s="1716"/>
      <c r="C731" s="1692">
        <v>371</v>
      </c>
      <c r="D731" s="1717"/>
      <c r="E731" s="1718"/>
      <c r="F731" s="1718"/>
      <c r="G731" s="1700">
        <f>G732</f>
        <v>116000000</v>
      </c>
    </row>
    <row r="732" spans="1:7" x14ac:dyDescent="0.2">
      <c r="A732" s="1716"/>
      <c r="B732" s="1716"/>
      <c r="C732" s="1692"/>
      <c r="D732" s="1717">
        <v>371</v>
      </c>
      <c r="E732" s="1718"/>
      <c r="F732" s="1718"/>
      <c r="G732" s="1700">
        <f>G733</f>
        <v>116000000</v>
      </c>
    </row>
    <row r="733" spans="1:7" x14ac:dyDescent="0.2">
      <c r="A733" s="1716"/>
      <c r="B733" s="1716"/>
      <c r="C733" s="1692"/>
      <c r="D733" s="1717"/>
      <c r="E733" s="1716" t="s">
        <v>1031</v>
      </c>
      <c r="F733" s="1718"/>
      <c r="G733" s="1700">
        <f>G734</f>
        <v>116000000</v>
      </c>
    </row>
    <row r="734" spans="1:7" x14ac:dyDescent="0.2">
      <c r="A734" s="1716"/>
      <c r="B734" s="1716"/>
      <c r="C734" s="1692"/>
      <c r="D734" s="1717"/>
      <c r="E734" s="1716" t="s">
        <v>1041</v>
      </c>
      <c r="F734" s="1718"/>
      <c r="G734" s="1700">
        <f>G735</f>
        <v>116000000</v>
      </c>
    </row>
    <row r="735" spans="1:7" x14ac:dyDescent="0.2">
      <c r="A735" s="1716"/>
      <c r="B735" s="1716"/>
      <c r="C735" s="1692"/>
      <c r="D735" s="1717"/>
      <c r="E735" s="1718">
        <v>7450</v>
      </c>
      <c r="F735" s="1718"/>
      <c r="G735" s="1700">
        <f>G736</f>
        <v>116000000</v>
      </c>
    </row>
    <row r="736" spans="1:7" x14ac:dyDescent="0.2">
      <c r="A736" s="1716"/>
      <c r="B736" s="1716"/>
      <c r="C736" s="1692"/>
      <c r="D736" s="1717"/>
      <c r="E736" s="1718"/>
      <c r="F736" s="1718">
        <v>7499</v>
      </c>
      <c r="G736" s="1700">
        <v>116000000</v>
      </c>
    </row>
    <row r="737" spans="1:7" x14ac:dyDescent="0.2">
      <c r="A737" s="1716"/>
      <c r="B737" s="1716"/>
      <c r="C737" s="1692">
        <v>374</v>
      </c>
      <c r="D737" s="1717"/>
      <c r="E737" s="1718"/>
      <c r="F737" s="1718"/>
      <c r="G737" s="1700">
        <f>G738</f>
        <v>365811500</v>
      </c>
    </row>
    <row r="738" spans="1:7" x14ac:dyDescent="0.2">
      <c r="A738" s="1716"/>
      <c r="B738" s="1716"/>
      <c r="C738" s="1692"/>
      <c r="D738" s="1717">
        <v>374</v>
      </c>
      <c r="E738" s="1718"/>
      <c r="F738" s="1718"/>
      <c r="G738" s="1700">
        <f>G739</f>
        <v>365811500</v>
      </c>
    </row>
    <row r="739" spans="1:7" x14ac:dyDescent="0.2">
      <c r="A739" s="1716"/>
      <c r="B739" s="1716"/>
      <c r="C739" s="1692"/>
      <c r="D739" s="1717"/>
      <c r="E739" s="1716" t="s">
        <v>1031</v>
      </c>
      <c r="F739" s="1718"/>
      <c r="G739" s="1700">
        <f>G740+G743+G746</f>
        <v>365811500</v>
      </c>
    </row>
    <row r="740" spans="1:7" x14ac:dyDescent="0.2">
      <c r="A740" s="1716"/>
      <c r="B740" s="1716"/>
      <c r="C740" s="1692"/>
      <c r="D740" s="1717"/>
      <c r="E740" s="1716" t="s">
        <v>1032</v>
      </c>
      <c r="F740" s="1718"/>
      <c r="G740" s="1700">
        <f>G741</f>
        <v>6212700</v>
      </c>
    </row>
    <row r="741" spans="1:7" x14ac:dyDescent="0.2">
      <c r="A741" s="1716"/>
      <c r="B741" s="1716"/>
      <c r="C741" s="1692"/>
      <c r="D741" s="1717"/>
      <c r="E741" s="1718">
        <v>6300</v>
      </c>
      <c r="F741" s="1718"/>
      <c r="G741" s="1700">
        <f>G742</f>
        <v>6212700</v>
      </c>
    </row>
    <row r="742" spans="1:7" x14ac:dyDescent="0.2">
      <c r="A742" s="1716"/>
      <c r="B742" s="1716"/>
      <c r="C742" s="1692"/>
      <c r="D742" s="1717"/>
      <c r="E742" s="1718"/>
      <c r="F742" s="1718">
        <v>6302</v>
      </c>
      <c r="G742" s="1700">
        <v>6212700</v>
      </c>
    </row>
    <row r="743" spans="1:7" x14ac:dyDescent="0.2">
      <c r="A743" s="1716"/>
      <c r="B743" s="1716"/>
      <c r="C743" s="1692"/>
      <c r="D743" s="1717"/>
      <c r="E743" s="1716" t="s">
        <v>1033</v>
      </c>
      <c r="F743" s="1718"/>
      <c r="G743" s="1700">
        <f>G744</f>
        <v>4370000</v>
      </c>
    </row>
    <row r="744" spans="1:7" x14ac:dyDescent="0.2">
      <c r="A744" s="1716"/>
      <c r="B744" s="1716"/>
      <c r="C744" s="1692"/>
      <c r="D744" s="1717"/>
      <c r="E744" s="1718">
        <v>6650</v>
      </c>
      <c r="F744" s="1718"/>
      <c r="G744" s="1700">
        <f>G745</f>
        <v>4370000</v>
      </c>
    </row>
    <row r="745" spans="1:7" x14ac:dyDescent="0.2">
      <c r="A745" s="1716"/>
      <c r="B745" s="1716"/>
      <c r="C745" s="1692"/>
      <c r="D745" s="1717"/>
      <c r="E745" s="1718"/>
      <c r="F745" s="1718">
        <v>6699</v>
      </c>
      <c r="G745" s="1700">
        <v>4370000</v>
      </c>
    </row>
    <row r="746" spans="1:7" x14ac:dyDescent="0.2">
      <c r="A746" s="1716"/>
      <c r="B746" s="1716"/>
      <c r="C746" s="1692"/>
      <c r="D746" s="1717"/>
      <c r="E746" s="1716" t="s">
        <v>1041</v>
      </c>
      <c r="F746" s="1718"/>
      <c r="G746" s="1700">
        <f>G747+G749+G753</f>
        <v>355228800</v>
      </c>
    </row>
    <row r="747" spans="1:7" x14ac:dyDescent="0.2">
      <c r="A747" s="1716"/>
      <c r="B747" s="1716"/>
      <c r="C747" s="1692"/>
      <c r="D747" s="1717"/>
      <c r="E747" s="1718">
        <v>7150</v>
      </c>
      <c r="F747" s="1718"/>
      <c r="G747" s="1700">
        <f>G748</f>
        <v>1620000</v>
      </c>
    </row>
    <row r="748" spans="1:7" x14ac:dyDescent="0.2">
      <c r="A748" s="1716"/>
      <c r="B748" s="1716"/>
      <c r="C748" s="1692"/>
      <c r="D748" s="1717"/>
      <c r="E748" s="1718"/>
      <c r="F748" s="1718">
        <v>7151</v>
      </c>
      <c r="G748" s="1700">
        <v>1620000</v>
      </c>
    </row>
    <row r="749" spans="1:7" x14ac:dyDescent="0.2">
      <c r="A749" s="1716"/>
      <c r="B749" s="1716"/>
      <c r="C749" s="1692"/>
      <c r="D749" s="1717"/>
      <c r="E749" s="1718">
        <v>7250</v>
      </c>
      <c r="F749" s="1718"/>
      <c r="G749" s="1700">
        <f>SUM(G750:G752)</f>
        <v>334000000</v>
      </c>
    </row>
    <row r="750" spans="1:7" x14ac:dyDescent="0.2">
      <c r="A750" s="1716"/>
      <c r="B750" s="1716"/>
      <c r="C750" s="1692"/>
      <c r="D750" s="1717"/>
      <c r="E750" s="1718"/>
      <c r="F750" s="1718">
        <v>7252</v>
      </c>
      <c r="G750" s="1700">
        <v>147000000</v>
      </c>
    </row>
    <row r="751" spans="1:7" x14ac:dyDescent="0.2">
      <c r="A751" s="1716"/>
      <c r="B751" s="1716"/>
      <c r="C751" s="1692"/>
      <c r="D751" s="1717"/>
      <c r="E751" s="1718"/>
      <c r="F751" s="1718">
        <v>7257</v>
      </c>
      <c r="G751" s="1700">
        <v>40000000</v>
      </c>
    </row>
    <row r="752" spans="1:7" x14ac:dyDescent="0.2">
      <c r="A752" s="1716"/>
      <c r="B752" s="1716"/>
      <c r="C752" s="1692"/>
      <c r="D752" s="1717"/>
      <c r="E752" s="1718"/>
      <c r="F752" s="1718">
        <v>7262</v>
      </c>
      <c r="G752" s="1700">
        <v>147000000</v>
      </c>
    </row>
    <row r="753" spans="1:7" x14ac:dyDescent="0.2">
      <c r="A753" s="1716"/>
      <c r="B753" s="1716"/>
      <c r="C753" s="1692"/>
      <c r="D753" s="1717"/>
      <c r="E753" s="1718">
        <v>7450</v>
      </c>
      <c r="F753" s="1718"/>
      <c r="G753" s="1700">
        <f>SUM(G754:G755)</f>
        <v>19608800</v>
      </c>
    </row>
    <row r="754" spans="1:7" x14ac:dyDescent="0.2">
      <c r="A754" s="1716"/>
      <c r="B754" s="1716"/>
      <c r="C754" s="1692"/>
      <c r="D754" s="1717"/>
      <c r="E754" s="1718"/>
      <c r="F754" s="1718">
        <v>7451</v>
      </c>
      <c r="G754" s="1700">
        <v>10108800</v>
      </c>
    </row>
    <row r="755" spans="1:7" x14ac:dyDescent="0.2">
      <c r="A755" s="1716"/>
      <c r="B755" s="1716"/>
      <c r="C755" s="1692"/>
      <c r="D755" s="1717"/>
      <c r="E755" s="1718"/>
      <c r="F755" s="1718">
        <v>7455</v>
      </c>
      <c r="G755" s="1700">
        <v>9500000</v>
      </c>
    </row>
    <row r="756" spans="1:7" x14ac:dyDescent="0.2">
      <c r="A756" s="1716"/>
      <c r="B756" s="1716"/>
      <c r="C756" s="1692">
        <v>398</v>
      </c>
      <c r="D756" s="1717"/>
      <c r="E756" s="1718"/>
      <c r="F756" s="1718"/>
      <c r="G756" s="1700">
        <f>G757</f>
        <v>6234777100</v>
      </c>
    </row>
    <row r="757" spans="1:7" x14ac:dyDescent="0.2">
      <c r="A757" s="1716"/>
      <c r="B757" s="1716"/>
      <c r="C757" s="1692"/>
      <c r="D757" s="1717">
        <v>398</v>
      </c>
      <c r="E757" s="1718"/>
      <c r="F757" s="1718"/>
      <c r="G757" s="1700">
        <f>G758</f>
        <v>6234777100</v>
      </c>
    </row>
    <row r="758" spans="1:7" x14ac:dyDescent="0.2">
      <c r="A758" s="1716"/>
      <c r="B758" s="1716"/>
      <c r="C758" s="1692"/>
      <c r="D758" s="1717"/>
      <c r="E758" s="1716" t="s">
        <v>1031</v>
      </c>
      <c r="F758" s="1718"/>
      <c r="G758" s="1700">
        <f>G759+G768+G779</f>
        <v>6234777100</v>
      </c>
    </row>
    <row r="759" spans="1:7" x14ac:dyDescent="0.2">
      <c r="A759" s="1716"/>
      <c r="B759" s="1716"/>
      <c r="C759" s="1692"/>
      <c r="D759" s="1717"/>
      <c r="E759" s="1716" t="s">
        <v>1033</v>
      </c>
      <c r="F759" s="1718"/>
      <c r="G759" s="1700">
        <f>G760+G762+G764+G766</f>
        <v>30610000</v>
      </c>
    </row>
    <row r="760" spans="1:7" x14ac:dyDescent="0.2">
      <c r="A760" s="1716"/>
      <c r="B760" s="1716"/>
      <c r="C760" s="1692"/>
      <c r="D760" s="1717"/>
      <c r="E760" s="1718">
        <v>6600</v>
      </c>
      <c r="F760" s="1718"/>
      <c r="G760" s="1700">
        <f>G761</f>
        <v>6500000</v>
      </c>
    </row>
    <row r="761" spans="1:7" x14ac:dyDescent="0.2">
      <c r="A761" s="1716"/>
      <c r="B761" s="1716"/>
      <c r="C761" s="1692"/>
      <c r="D761" s="1717"/>
      <c r="E761" s="1718"/>
      <c r="F761" s="1718">
        <v>6606</v>
      </c>
      <c r="G761" s="1700">
        <v>6500000</v>
      </c>
    </row>
    <row r="762" spans="1:7" x14ac:dyDescent="0.2">
      <c r="A762" s="1716"/>
      <c r="B762" s="1716"/>
      <c r="C762" s="1692"/>
      <c r="D762" s="1717"/>
      <c r="E762" s="1718">
        <v>6650</v>
      </c>
      <c r="F762" s="1718"/>
      <c r="G762" s="1723">
        <f>G763</f>
        <v>12410000</v>
      </c>
    </row>
    <row r="763" spans="1:7" x14ac:dyDescent="0.2">
      <c r="A763" s="1716"/>
      <c r="B763" s="1716"/>
      <c r="C763" s="1692"/>
      <c r="D763" s="1717"/>
      <c r="E763" s="1718"/>
      <c r="F763" s="1718">
        <v>6699</v>
      </c>
      <c r="G763" s="1700">
        <v>12410000</v>
      </c>
    </row>
    <row r="764" spans="1:7" x14ac:dyDescent="0.2">
      <c r="A764" s="1716"/>
      <c r="B764" s="1716"/>
      <c r="C764" s="1692"/>
      <c r="D764" s="1717"/>
      <c r="E764" s="1718">
        <v>6750</v>
      </c>
      <c r="F764" s="1718"/>
      <c r="G764" s="1700">
        <f>G765</f>
        <v>6000000</v>
      </c>
    </row>
    <row r="765" spans="1:7" x14ac:dyDescent="0.2">
      <c r="A765" s="1716"/>
      <c r="B765" s="1716"/>
      <c r="C765" s="1692"/>
      <c r="D765" s="1717"/>
      <c r="E765" s="1718"/>
      <c r="F765" s="1718">
        <v>6754</v>
      </c>
      <c r="G765" s="1700">
        <v>6000000</v>
      </c>
    </row>
    <row r="766" spans="1:7" x14ac:dyDescent="0.2">
      <c r="A766" s="1716"/>
      <c r="B766" s="1716"/>
      <c r="C766" s="1692"/>
      <c r="D766" s="1717"/>
      <c r="E766" s="1718">
        <v>7000</v>
      </c>
      <c r="F766" s="1718"/>
      <c r="G766" s="1700">
        <f>G767</f>
        <v>5700000</v>
      </c>
    </row>
    <row r="767" spans="1:7" x14ac:dyDescent="0.2">
      <c r="A767" s="1716"/>
      <c r="B767" s="1716"/>
      <c r="C767" s="1692"/>
      <c r="D767" s="1717"/>
      <c r="E767" s="1718"/>
      <c r="F767" s="1718">
        <v>7049</v>
      </c>
      <c r="G767" s="1700">
        <v>5700000</v>
      </c>
    </row>
    <row r="768" spans="1:7" x14ac:dyDescent="0.2">
      <c r="A768" s="1716"/>
      <c r="B768" s="1716"/>
      <c r="C768" s="1692"/>
      <c r="D768" s="1717"/>
      <c r="E768" s="1716" t="s">
        <v>1041</v>
      </c>
      <c r="F768" s="1718"/>
      <c r="G768" s="1700">
        <f>G769+G771+G773+G775</f>
        <v>6195517100</v>
      </c>
    </row>
    <row r="769" spans="1:7" x14ac:dyDescent="0.2">
      <c r="A769" s="1716"/>
      <c r="B769" s="1716"/>
      <c r="C769" s="1692"/>
      <c r="D769" s="1717"/>
      <c r="E769" s="1718">
        <v>7100</v>
      </c>
      <c r="F769" s="1718"/>
      <c r="G769" s="1700">
        <f>G770</f>
        <v>53179800</v>
      </c>
    </row>
    <row r="770" spans="1:7" x14ac:dyDescent="0.2">
      <c r="A770" s="1716"/>
      <c r="B770" s="1716"/>
      <c r="C770" s="1692"/>
      <c r="D770" s="1717"/>
      <c r="E770" s="1718"/>
      <c r="F770" s="1718">
        <v>7149</v>
      </c>
      <c r="G770" s="1700">
        <v>53179800</v>
      </c>
    </row>
    <row r="771" spans="1:7" x14ac:dyDescent="0.2">
      <c r="A771" s="1716"/>
      <c r="B771" s="1716"/>
      <c r="C771" s="1692"/>
      <c r="D771" s="1717"/>
      <c r="E771" s="1718">
        <v>7150</v>
      </c>
      <c r="F771" s="1718"/>
      <c r="G771" s="1700">
        <f>G772</f>
        <v>6480000</v>
      </c>
    </row>
    <row r="772" spans="1:7" x14ac:dyDescent="0.2">
      <c r="A772" s="1716"/>
      <c r="B772" s="1716"/>
      <c r="C772" s="1692"/>
      <c r="D772" s="1717"/>
      <c r="E772" s="1718"/>
      <c r="F772" s="1718">
        <v>7151</v>
      </c>
      <c r="G772" s="1700">
        <v>6480000</v>
      </c>
    </row>
    <row r="773" spans="1:7" x14ac:dyDescent="0.2">
      <c r="A773" s="1716"/>
      <c r="B773" s="1716"/>
      <c r="C773" s="1692"/>
      <c r="D773" s="1717"/>
      <c r="E773" s="1718">
        <v>7250</v>
      </c>
      <c r="F773" s="1718"/>
      <c r="G773" s="1700">
        <f>G774</f>
        <v>140200000</v>
      </c>
    </row>
    <row r="774" spans="1:7" x14ac:dyDescent="0.2">
      <c r="A774" s="1716"/>
      <c r="B774" s="1716"/>
      <c r="C774" s="1692"/>
      <c r="D774" s="1717"/>
      <c r="E774" s="1718"/>
      <c r="F774" s="1718">
        <v>7257</v>
      </c>
      <c r="G774" s="1700">
        <v>140200000</v>
      </c>
    </row>
    <row r="775" spans="1:7" x14ac:dyDescent="0.2">
      <c r="A775" s="1716"/>
      <c r="B775" s="1716"/>
      <c r="C775" s="1692"/>
      <c r="D775" s="1717"/>
      <c r="E775" s="1718">
        <v>7450</v>
      </c>
      <c r="F775" s="1718"/>
      <c r="G775" s="1700">
        <f>SUM(G776:G778)</f>
        <v>5995657300</v>
      </c>
    </row>
    <row r="776" spans="1:7" x14ac:dyDescent="0.2">
      <c r="A776" s="1716"/>
      <c r="B776" s="1716"/>
      <c r="C776" s="1692"/>
      <c r="D776" s="1717"/>
      <c r="E776" s="1718"/>
      <c r="F776" s="1718">
        <v>7451</v>
      </c>
      <c r="G776" s="1700">
        <v>246507300</v>
      </c>
    </row>
    <row r="777" spans="1:7" x14ac:dyDescent="0.2">
      <c r="A777" s="1716"/>
      <c r="B777" s="1716"/>
      <c r="C777" s="1692"/>
      <c r="D777" s="1717"/>
      <c r="E777" s="1718"/>
      <c r="F777" s="1718">
        <v>7455</v>
      </c>
      <c r="G777" s="1700">
        <v>3504750000</v>
      </c>
    </row>
    <row r="778" spans="1:7" x14ac:dyDescent="0.2">
      <c r="A778" s="1716"/>
      <c r="B778" s="1716"/>
      <c r="C778" s="1692"/>
      <c r="D778" s="1717"/>
      <c r="E778" s="1718"/>
      <c r="F778" s="1718">
        <v>7499</v>
      </c>
      <c r="G778" s="1700">
        <v>2244400000</v>
      </c>
    </row>
    <row r="779" spans="1:7" x14ac:dyDescent="0.2">
      <c r="A779" s="1716"/>
      <c r="B779" s="1716"/>
      <c r="C779" s="1692"/>
      <c r="D779" s="1717"/>
      <c r="E779" s="1716" t="s">
        <v>1034</v>
      </c>
      <c r="F779" s="1718"/>
      <c r="G779" s="1700">
        <f>G780</f>
        <v>8650000</v>
      </c>
    </row>
    <row r="780" spans="1:7" x14ac:dyDescent="0.2">
      <c r="A780" s="1716"/>
      <c r="B780" s="1716"/>
      <c r="C780" s="1692"/>
      <c r="D780" s="1717"/>
      <c r="E780" s="1718">
        <v>7750</v>
      </c>
      <c r="F780" s="1718"/>
      <c r="G780" s="1700">
        <f>G781</f>
        <v>8650000</v>
      </c>
    </row>
    <row r="781" spans="1:7" x14ac:dyDescent="0.2">
      <c r="A781" s="1716"/>
      <c r="B781" s="1716"/>
      <c r="C781" s="1692"/>
      <c r="D781" s="1717"/>
      <c r="E781" s="1718"/>
      <c r="F781" s="1718">
        <v>7799</v>
      </c>
      <c r="G781" s="1700">
        <v>8650000</v>
      </c>
    </row>
    <row r="782" spans="1:7" x14ac:dyDescent="0.2">
      <c r="A782" s="1716"/>
      <c r="B782" s="1716"/>
      <c r="C782" s="1692">
        <v>428</v>
      </c>
      <c r="D782" s="1717"/>
      <c r="E782" s="1718"/>
      <c r="F782" s="1718"/>
      <c r="G782" s="1700">
        <f>G783</f>
        <v>59100000</v>
      </c>
    </row>
    <row r="783" spans="1:7" x14ac:dyDescent="0.2">
      <c r="A783" s="1716"/>
      <c r="B783" s="1716"/>
      <c r="C783" s="1692"/>
      <c r="D783" s="1717">
        <v>428</v>
      </c>
      <c r="E783" s="1718"/>
      <c r="F783" s="1718"/>
      <c r="G783" s="1700">
        <f>G784</f>
        <v>59100000</v>
      </c>
    </row>
    <row r="784" spans="1:7" x14ac:dyDescent="0.2">
      <c r="A784" s="1716"/>
      <c r="B784" s="1716"/>
      <c r="C784" s="1692"/>
      <c r="D784" s="1717"/>
      <c r="E784" s="1716" t="s">
        <v>1031</v>
      </c>
      <c r="F784" s="1718"/>
      <c r="G784" s="1700">
        <f>G785</f>
        <v>59100000</v>
      </c>
    </row>
    <row r="785" spans="1:7" x14ac:dyDescent="0.2">
      <c r="A785" s="1716"/>
      <c r="B785" s="1716"/>
      <c r="C785" s="1692"/>
      <c r="D785" s="1717"/>
      <c r="E785" s="1716" t="s">
        <v>1034</v>
      </c>
      <c r="F785" s="1718"/>
      <c r="G785" s="1700">
        <f>G786</f>
        <v>59100000</v>
      </c>
    </row>
    <row r="786" spans="1:7" x14ac:dyDescent="0.2">
      <c r="A786" s="1716"/>
      <c r="B786" s="1716"/>
      <c r="C786" s="1692"/>
      <c r="D786" s="1717"/>
      <c r="E786" s="1718">
        <v>7750</v>
      </c>
      <c r="F786" s="1718"/>
      <c r="G786" s="1700">
        <f>G787</f>
        <v>59100000</v>
      </c>
    </row>
    <row r="787" spans="1:7" x14ac:dyDescent="0.2">
      <c r="A787" s="1716"/>
      <c r="B787" s="1716"/>
      <c r="C787" s="1692"/>
      <c r="D787" s="1717"/>
      <c r="E787" s="1718"/>
      <c r="F787" s="1718">
        <v>7799</v>
      </c>
      <c r="G787" s="1700">
        <v>59100000</v>
      </c>
    </row>
    <row r="788" spans="1:7" x14ac:dyDescent="0.2">
      <c r="A788" s="1716"/>
      <c r="B788" s="1716"/>
      <c r="C788" s="1692">
        <v>433</v>
      </c>
      <c r="D788" s="1717"/>
      <c r="E788" s="1718"/>
      <c r="F788" s="1718"/>
      <c r="G788" s="1726">
        <f>G789</f>
        <v>104011510</v>
      </c>
    </row>
    <row r="789" spans="1:7" x14ac:dyDescent="0.2">
      <c r="A789" s="1716"/>
      <c r="B789" s="1716"/>
      <c r="C789" s="1692"/>
      <c r="D789" s="1717">
        <v>433</v>
      </c>
      <c r="E789" s="1718"/>
      <c r="F789" s="1718"/>
      <c r="G789" s="1726">
        <f>G790</f>
        <v>104011510</v>
      </c>
    </row>
    <row r="790" spans="1:7" x14ac:dyDescent="0.2">
      <c r="A790" s="1716"/>
      <c r="B790" s="1716"/>
      <c r="C790" s="1692"/>
      <c r="D790" s="1717"/>
      <c r="E790" s="1716" t="s">
        <v>1031</v>
      </c>
      <c r="F790" s="1718"/>
      <c r="G790" s="1726">
        <f>G791</f>
        <v>104011510</v>
      </c>
    </row>
    <row r="791" spans="1:7" x14ac:dyDescent="0.2">
      <c r="A791" s="1716"/>
      <c r="B791" s="1716"/>
      <c r="C791" s="1692"/>
      <c r="D791" s="1717"/>
      <c r="E791" s="1716" t="s">
        <v>1034</v>
      </c>
      <c r="F791" s="1718"/>
      <c r="G791" s="1726">
        <f>G792</f>
        <v>104011510</v>
      </c>
    </row>
    <row r="792" spans="1:7" x14ac:dyDescent="0.2">
      <c r="A792" s="1716"/>
      <c r="B792" s="1716"/>
      <c r="C792" s="1692"/>
      <c r="D792" s="1717"/>
      <c r="E792" s="1718">
        <v>7700</v>
      </c>
      <c r="F792" s="1718"/>
      <c r="G792" s="1700">
        <f>G793</f>
        <v>104011510</v>
      </c>
    </row>
    <row r="793" spans="1:7" x14ac:dyDescent="0.2">
      <c r="A793" s="1716"/>
      <c r="B793" s="1716"/>
      <c r="C793" s="1692"/>
      <c r="D793" s="1717"/>
      <c r="E793" s="1718"/>
      <c r="F793" s="1718">
        <v>7702</v>
      </c>
      <c r="G793" s="1726">
        <v>104011510</v>
      </c>
    </row>
    <row r="794" spans="1:7" x14ac:dyDescent="0.2">
      <c r="A794" s="1716"/>
      <c r="B794" s="1716"/>
      <c r="C794" s="1692">
        <v>434</v>
      </c>
      <c r="D794" s="1717"/>
      <c r="E794" s="1718"/>
      <c r="F794" s="1718"/>
      <c r="G794" s="1726">
        <f>G795</f>
        <v>24187211725</v>
      </c>
    </row>
    <row r="795" spans="1:7" x14ac:dyDescent="0.2">
      <c r="A795" s="1716"/>
      <c r="B795" s="1716"/>
      <c r="C795" s="1692"/>
      <c r="D795" s="1717">
        <v>434</v>
      </c>
      <c r="E795" s="1718"/>
      <c r="F795" s="1718"/>
      <c r="G795" s="1726">
        <f>G796</f>
        <v>24187211725</v>
      </c>
    </row>
    <row r="796" spans="1:7" x14ac:dyDescent="0.2">
      <c r="A796" s="1716"/>
      <c r="B796" s="1716"/>
      <c r="C796" s="1692"/>
      <c r="D796" s="1717"/>
      <c r="E796" s="1716" t="s">
        <v>917</v>
      </c>
      <c r="F796" s="1718"/>
      <c r="G796" s="1726">
        <f>G797</f>
        <v>24187211725</v>
      </c>
    </row>
    <row r="797" spans="1:7" x14ac:dyDescent="0.2">
      <c r="A797" s="1716"/>
      <c r="B797" s="1716"/>
      <c r="C797" s="1692"/>
      <c r="D797" s="1717"/>
      <c r="E797" s="1716" t="s">
        <v>918</v>
      </c>
      <c r="F797" s="1718"/>
      <c r="G797" s="1726">
        <f>G798</f>
        <v>24187211725</v>
      </c>
    </row>
    <row r="798" spans="1:7" x14ac:dyDescent="0.2">
      <c r="A798" s="1716"/>
      <c r="B798" s="1716"/>
      <c r="C798" s="1692"/>
      <c r="D798" s="1717"/>
      <c r="E798" s="1727" t="s">
        <v>1027</v>
      </c>
      <c r="F798" s="1718"/>
      <c r="G798" s="1726">
        <f>SUM(G799:G803)</f>
        <v>24187211725</v>
      </c>
    </row>
    <row r="799" spans="1:7" x14ac:dyDescent="0.2">
      <c r="A799" s="1716"/>
      <c r="B799" s="1716"/>
      <c r="C799" s="1692"/>
      <c r="D799" s="1717"/>
      <c r="E799" s="1718"/>
      <c r="F799" s="1727" t="s">
        <v>1042</v>
      </c>
      <c r="G799" s="1726">
        <v>30587731</v>
      </c>
    </row>
    <row r="800" spans="1:7" x14ac:dyDescent="0.2">
      <c r="A800" s="1716"/>
      <c r="B800" s="1716"/>
      <c r="C800" s="1692"/>
      <c r="D800" s="1717"/>
      <c r="E800" s="1718"/>
      <c r="F800" s="1727" t="s">
        <v>1043</v>
      </c>
      <c r="G800" s="1726">
        <v>900000000</v>
      </c>
    </row>
    <row r="801" spans="1:8" x14ac:dyDescent="0.2">
      <c r="A801" s="1716"/>
      <c r="B801" s="1716"/>
      <c r="C801" s="1692"/>
      <c r="D801" s="1717"/>
      <c r="E801" s="1718"/>
      <c r="F801" s="1727" t="s">
        <v>1028</v>
      </c>
      <c r="G801" s="1726">
        <v>1607000</v>
      </c>
    </row>
    <row r="802" spans="1:8" x14ac:dyDescent="0.2">
      <c r="A802" s="1716"/>
      <c r="B802" s="1716"/>
      <c r="C802" s="1692"/>
      <c r="D802" s="1717"/>
      <c r="E802" s="1718"/>
      <c r="F802" s="1727" t="s">
        <v>1029</v>
      </c>
      <c r="G802" s="1726">
        <v>11370241786</v>
      </c>
    </row>
    <row r="803" spans="1:8" x14ac:dyDescent="0.2">
      <c r="A803" s="1716"/>
      <c r="B803" s="1716"/>
      <c r="C803" s="1692"/>
      <c r="D803" s="1717"/>
      <c r="E803" s="1718"/>
      <c r="F803" s="1727" t="s">
        <v>1044</v>
      </c>
      <c r="G803" s="1726">
        <v>11884775208</v>
      </c>
    </row>
    <row r="804" spans="1:8" x14ac:dyDescent="0.2">
      <c r="A804" s="1716"/>
      <c r="B804" s="1716"/>
      <c r="C804" s="1692">
        <v>435</v>
      </c>
      <c r="D804" s="1717"/>
      <c r="E804" s="1718"/>
      <c r="F804" s="1718"/>
      <c r="G804" s="1719">
        <f>G805</f>
        <v>50000000</v>
      </c>
    </row>
    <row r="805" spans="1:8" x14ac:dyDescent="0.2">
      <c r="A805" s="1716"/>
      <c r="B805" s="1716"/>
      <c r="C805" s="1692"/>
      <c r="D805" s="1717">
        <v>435</v>
      </c>
      <c r="E805" s="1718"/>
      <c r="F805" s="1718"/>
      <c r="G805" s="1719">
        <f>G806</f>
        <v>50000000</v>
      </c>
    </row>
    <row r="806" spans="1:8" x14ac:dyDescent="0.2">
      <c r="A806" s="1716"/>
      <c r="B806" s="1716"/>
      <c r="C806" s="1692"/>
      <c r="D806" s="1717"/>
      <c r="E806" s="1716" t="s">
        <v>1031</v>
      </c>
      <c r="F806" s="1718"/>
      <c r="G806" s="1719">
        <f>G807</f>
        <v>50000000</v>
      </c>
    </row>
    <row r="807" spans="1:8" x14ac:dyDescent="0.2">
      <c r="A807" s="1716"/>
      <c r="B807" s="1716"/>
      <c r="C807" s="1692"/>
      <c r="D807" s="1717"/>
      <c r="E807" s="1716" t="s">
        <v>1034</v>
      </c>
      <c r="F807" s="1718"/>
      <c r="G807" s="1719">
        <f>G808</f>
        <v>50000000</v>
      </c>
    </row>
    <row r="808" spans="1:8" x14ac:dyDescent="0.2">
      <c r="A808" s="1716"/>
      <c r="B808" s="1716"/>
      <c r="C808" s="1692"/>
      <c r="D808" s="1717"/>
      <c r="E808" s="1718">
        <v>7750</v>
      </c>
      <c r="F808" s="1718"/>
      <c r="G808" s="1719">
        <f>G809</f>
        <v>50000000</v>
      </c>
    </row>
    <row r="809" spans="1:8" x14ac:dyDescent="0.2">
      <c r="A809" s="1716"/>
      <c r="B809" s="1716"/>
      <c r="C809" s="1692"/>
      <c r="D809" s="1717"/>
      <c r="E809" s="1718"/>
      <c r="F809" s="1718">
        <v>7799</v>
      </c>
      <c r="G809" s="1719">
        <v>50000000</v>
      </c>
    </row>
    <row r="811" spans="1:8" s="92" customFormat="1" ht="21.75" customHeight="1" x14ac:dyDescent="0.25">
      <c r="A811" s="1772" t="s">
        <v>548</v>
      </c>
      <c r="B811" s="1772"/>
      <c r="C811" s="1772"/>
      <c r="D811" s="905"/>
      <c r="E811" s="1871" t="s">
        <v>548</v>
      </c>
      <c r="F811" s="1871"/>
      <c r="G811" s="1871"/>
      <c r="H811" s="1728"/>
    </row>
    <row r="812" spans="1:8" s="92" customFormat="1" ht="15.75" customHeight="1" x14ac:dyDescent="0.25">
      <c r="A812" s="1757" t="s">
        <v>462</v>
      </c>
      <c r="B812" s="1757"/>
      <c r="C812" s="1757"/>
      <c r="D812" s="1288"/>
      <c r="E812" s="1757" t="s">
        <v>461</v>
      </c>
      <c r="F812" s="1757"/>
      <c r="G812" s="1757"/>
      <c r="H812" s="1288"/>
    </row>
    <row r="813" spans="1:8" s="92" customFormat="1" ht="15.75" customHeight="1" x14ac:dyDescent="0.25">
      <c r="A813" s="1772" t="s">
        <v>14</v>
      </c>
      <c r="B813" s="1772"/>
      <c r="C813" s="1772"/>
      <c r="D813" s="905"/>
      <c r="E813" s="905"/>
      <c r="F813" s="1870"/>
      <c r="G813" s="1870"/>
      <c r="H813" s="1870"/>
    </row>
    <row r="814" spans="1:8" s="92" customFormat="1" ht="15.75" x14ac:dyDescent="0.25">
      <c r="A814" s="12"/>
      <c r="B814" s="12"/>
      <c r="C814" s="1543"/>
      <c r="D814" s="976"/>
      <c r="E814" s="873"/>
      <c r="F814" s="873"/>
      <c r="G814" s="873"/>
      <c r="H814" s="350"/>
    </row>
    <row r="815" spans="1:8" s="92" customFormat="1" ht="15.75" x14ac:dyDescent="0.25">
      <c r="A815" s="12"/>
      <c r="B815" s="12"/>
      <c r="C815" s="1543"/>
      <c r="D815" s="976"/>
      <c r="E815" s="873"/>
      <c r="F815" s="873"/>
      <c r="G815" s="873"/>
      <c r="H815" s="350"/>
    </row>
    <row r="816" spans="1:8" s="92" customFormat="1" ht="15.75" x14ac:dyDescent="0.25">
      <c r="A816" s="12"/>
      <c r="B816" s="12"/>
      <c r="C816" s="1543"/>
      <c r="D816" s="976"/>
      <c r="E816" s="873"/>
      <c r="F816" s="873"/>
      <c r="G816" s="873"/>
      <c r="H816" s="350"/>
    </row>
    <row r="817" spans="1:8" s="92" customFormat="1" ht="15.75" x14ac:dyDescent="0.25">
      <c r="A817" s="12"/>
      <c r="B817" s="12"/>
      <c r="C817" s="1543"/>
      <c r="D817" s="976"/>
      <c r="E817" s="873"/>
      <c r="F817" s="873"/>
      <c r="G817" s="873"/>
      <c r="H817" s="350"/>
    </row>
    <row r="818" spans="1:8" s="92" customFormat="1" ht="15.75" x14ac:dyDescent="0.25">
      <c r="A818" s="12"/>
      <c r="B818" s="12"/>
      <c r="C818" s="1543"/>
      <c r="D818" s="976"/>
      <c r="E818" s="1866" t="s">
        <v>460</v>
      </c>
      <c r="F818" s="1866"/>
      <c r="G818" s="1866"/>
      <c r="H818" s="872"/>
    </row>
  </sheetData>
  <mergeCells count="10">
    <mergeCell ref="E818:G818"/>
    <mergeCell ref="A4:G4"/>
    <mergeCell ref="F1:G1"/>
    <mergeCell ref="B3:G3"/>
    <mergeCell ref="F813:H813"/>
    <mergeCell ref="A811:C811"/>
    <mergeCell ref="A812:C812"/>
    <mergeCell ref="A813:C813"/>
    <mergeCell ref="E811:G811"/>
    <mergeCell ref="E812:G812"/>
  </mergeCells>
  <printOptions horizontalCentered="1"/>
  <pageMargins left="0.25" right="0.16" top="0.31" bottom="0.3"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13" zoomScaleNormal="100" zoomScaleSheetLayoutView="100" workbookViewId="0">
      <selection activeCell="B20" sqref="B20:B22"/>
    </sheetView>
  </sheetViews>
  <sheetFormatPr defaultColWidth="9.140625" defaultRowHeight="12.75" x14ac:dyDescent="0.2"/>
  <cols>
    <col min="1" max="1" width="52.7109375" style="525" customWidth="1"/>
    <col min="2" max="2" width="7.5703125" style="125" customWidth="1"/>
    <col min="3" max="4" width="7.7109375" style="125" customWidth="1"/>
    <col min="5" max="5" width="6.7109375" style="125" customWidth="1"/>
    <col min="6" max="6" width="7.85546875" style="125" customWidth="1"/>
    <col min="7" max="7" width="8" style="125" customWidth="1"/>
    <col min="8" max="8" width="14" style="125" customWidth="1"/>
    <col min="9" max="16384" width="9.140625" style="125"/>
  </cols>
  <sheetData>
    <row r="1" spans="1:8" s="523" customFormat="1" ht="18.75" customHeight="1" x14ac:dyDescent="0.2">
      <c r="A1" s="595" t="str">
        <f>'48N'!A1</f>
        <v>UBND PHƯỜNG ĐỨC XUÂN</v>
      </c>
      <c r="G1" s="1875" t="s">
        <v>961</v>
      </c>
      <c r="H1" s="1875"/>
    </row>
    <row r="2" spans="1:8" ht="30" customHeight="1" x14ac:dyDescent="0.2">
      <c r="A2" s="1886" t="s">
        <v>463</v>
      </c>
      <c r="B2" s="1886"/>
      <c r="C2" s="1886"/>
      <c r="D2" s="1886"/>
      <c r="E2" s="1886"/>
      <c r="F2" s="1886"/>
      <c r="G2" s="1886"/>
      <c r="H2" s="1886"/>
    </row>
    <row r="3" spans="1:8" ht="15" customHeight="1" x14ac:dyDescent="0.2">
      <c r="A3" s="1899" t="str">
        <f>'48N'!A4:F4</f>
        <v>(Kèm theo Tờ trình số    /TTr-KTHT&amp;ĐT ngày      /4/2026 của phòng KTHT&amp;ĐT phường Đức Xuân)</v>
      </c>
      <c r="B3" s="1899"/>
      <c r="C3" s="1899"/>
      <c r="D3" s="1899"/>
      <c r="E3" s="1899"/>
      <c r="F3" s="1899"/>
      <c r="G3" s="1899"/>
      <c r="H3" s="1899"/>
    </row>
    <row r="4" spans="1:8" ht="18.75" customHeight="1" x14ac:dyDescent="0.2">
      <c r="H4" s="624" t="s">
        <v>525</v>
      </c>
    </row>
    <row r="5" spans="1:8" ht="30" customHeight="1" x14ac:dyDescent="0.2">
      <c r="A5" s="597" t="s">
        <v>465</v>
      </c>
      <c r="B5" s="597" t="s">
        <v>123</v>
      </c>
      <c r="C5" s="597" t="s">
        <v>467</v>
      </c>
      <c r="D5" s="597" t="s">
        <v>466</v>
      </c>
      <c r="E5" s="597" t="s">
        <v>128</v>
      </c>
      <c r="F5" s="597" t="s">
        <v>124</v>
      </c>
      <c r="G5" s="597" t="s">
        <v>125</v>
      </c>
      <c r="H5" s="597" t="s">
        <v>341</v>
      </c>
    </row>
    <row r="6" spans="1:8" ht="20.25" customHeight="1" x14ac:dyDescent="0.2">
      <c r="A6" s="528" t="s">
        <v>270</v>
      </c>
      <c r="B6" s="528"/>
      <c r="C6" s="528"/>
      <c r="D6" s="623"/>
      <c r="E6" s="528"/>
      <c r="F6" s="528"/>
      <c r="G6" s="528"/>
      <c r="H6" s="534">
        <f>H7+H49</f>
        <v>516129.13700000005</v>
      </c>
    </row>
    <row r="7" spans="1:8" ht="20.25" customHeight="1" x14ac:dyDescent="0.2">
      <c r="A7" s="1463" t="s">
        <v>818</v>
      </c>
      <c r="B7" s="528"/>
      <c r="C7" s="528"/>
      <c r="D7" s="623"/>
      <c r="E7" s="528"/>
      <c r="F7" s="528"/>
      <c r="G7" s="528"/>
      <c r="H7" s="534">
        <f>H8+H12</f>
        <v>315075.43700000003</v>
      </c>
    </row>
    <row r="8" spans="1:8" ht="20.25" customHeight="1" x14ac:dyDescent="0.2">
      <c r="A8" s="623" t="s">
        <v>527</v>
      </c>
      <c r="B8" s="623"/>
      <c r="C8" s="623"/>
      <c r="D8" s="623"/>
      <c r="E8" s="623"/>
      <c r="F8" s="623"/>
      <c r="G8" s="623"/>
      <c r="H8" s="919">
        <f>H9</f>
        <v>60964.895000000004</v>
      </c>
    </row>
    <row r="9" spans="1:8" s="530" customFormat="1" ht="30" customHeight="1" x14ac:dyDescent="0.2">
      <c r="A9" s="526" t="s">
        <v>464</v>
      </c>
      <c r="B9" s="529"/>
      <c r="C9" s="529"/>
      <c r="D9" s="529"/>
      <c r="E9" s="529"/>
      <c r="F9" s="529"/>
      <c r="G9" s="529"/>
      <c r="H9" s="534">
        <f>SUM(H10:H11)</f>
        <v>60964.895000000004</v>
      </c>
    </row>
    <row r="10" spans="1:8" s="530" customFormat="1" ht="17.25" customHeight="1" x14ac:dyDescent="0.2">
      <c r="A10" s="1891" t="s">
        <v>531</v>
      </c>
      <c r="B10" s="1893">
        <v>831</v>
      </c>
      <c r="C10" s="920" t="s">
        <v>528</v>
      </c>
      <c r="D10" s="1895" t="s">
        <v>529</v>
      </c>
      <c r="E10" s="1897">
        <v>292</v>
      </c>
      <c r="F10" s="630">
        <v>9300</v>
      </c>
      <c r="G10" s="630">
        <v>9301</v>
      </c>
      <c r="H10" s="631">
        <v>54000</v>
      </c>
    </row>
    <row r="11" spans="1:8" s="530" customFormat="1" ht="17.25" customHeight="1" x14ac:dyDescent="0.2">
      <c r="A11" s="1892"/>
      <c r="B11" s="1894"/>
      <c r="C11" s="921" t="s">
        <v>530</v>
      </c>
      <c r="D11" s="1896"/>
      <c r="E11" s="1898"/>
      <c r="F11" s="878">
        <v>9300</v>
      </c>
      <c r="G11" s="878">
        <v>9301</v>
      </c>
      <c r="H11" s="635">
        <v>6964.8950000000004</v>
      </c>
    </row>
    <row r="12" spans="1:8" ht="20.25" customHeight="1" x14ac:dyDescent="0.2">
      <c r="A12" s="623" t="s">
        <v>526</v>
      </c>
      <c r="B12" s="623"/>
      <c r="C12" s="623"/>
      <c r="D12" s="623"/>
      <c r="E12" s="623"/>
      <c r="F12" s="623"/>
      <c r="G12" s="623"/>
      <c r="H12" s="919">
        <f>H13+H31</f>
        <v>254110.54200000002</v>
      </c>
    </row>
    <row r="13" spans="1:8" s="530" customFormat="1" ht="29.25" customHeight="1" x14ac:dyDescent="0.2">
      <c r="A13" s="526" t="s">
        <v>464</v>
      </c>
      <c r="B13" s="529"/>
      <c r="C13" s="529"/>
      <c r="D13" s="529"/>
      <c r="E13" s="529"/>
      <c r="F13" s="529"/>
      <c r="G13" s="529"/>
      <c r="H13" s="534">
        <f>SUM(H14:H30)</f>
        <v>66995.15400000001</v>
      </c>
    </row>
    <row r="14" spans="1:8" s="530" customFormat="1" ht="21" customHeight="1" x14ac:dyDescent="0.2">
      <c r="A14" s="1887" t="s">
        <v>468</v>
      </c>
      <c r="B14" s="1890">
        <v>832</v>
      </c>
      <c r="C14" s="1883" t="s">
        <v>469</v>
      </c>
      <c r="D14" s="1883" t="s">
        <v>470</v>
      </c>
      <c r="E14" s="1880" t="s">
        <v>401</v>
      </c>
      <c r="F14" s="630">
        <v>6500</v>
      </c>
      <c r="G14" s="630">
        <v>6505</v>
      </c>
      <c r="H14" s="631">
        <v>1548</v>
      </c>
    </row>
    <row r="15" spans="1:8" s="530" customFormat="1" ht="21" customHeight="1" x14ac:dyDescent="0.2">
      <c r="A15" s="1888"/>
      <c r="B15" s="1877"/>
      <c r="C15" s="1884"/>
      <c r="D15" s="1884"/>
      <c r="E15" s="1881"/>
      <c r="F15" s="1876">
        <v>6650</v>
      </c>
      <c r="G15" s="488">
        <v>6651</v>
      </c>
      <c r="H15" s="533">
        <v>1472.154</v>
      </c>
    </row>
    <row r="16" spans="1:8" s="530" customFormat="1" ht="21" customHeight="1" x14ac:dyDescent="0.2">
      <c r="A16" s="1888"/>
      <c r="B16" s="1877"/>
      <c r="C16" s="1884"/>
      <c r="D16" s="1884"/>
      <c r="E16" s="1881"/>
      <c r="F16" s="1877"/>
      <c r="G16" s="488">
        <v>6652</v>
      </c>
      <c r="H16" s="533">
        <v>4000</v>
      </c>
    </row>
    <row r="17" spans="1:8" s="530" customFormat="1" ht="21" customHeight="1" x14ac:dyDescent="0.2">
      <c r="A17" s="1888"/>
      <c r="B17" s="1877"/>
      <c r="C17" s="1884"/>
      <c r="D17" s="1884"/>
      <c r="E17" s="1881"/>
      <c r="F17" s="1878"/>
      <c r="G17" s="488">
        <v>6699</v>
      </c>
      <c r="H17" s="532">
        <v>11475</v>
      </c>
    </row>
    <row r="18" spans="1:8" s="530" customFormat="1" ht="21" customHeight="1" x14ac:dyDescent="0.2">
      <c r="A18" s="1888"/>
      <c r="B18" s="1877"/>
      <c r="C18" s="1884"/>
      <c r="D18" s="1884"/>
      <c r="E18" s="1881"/>
      <c r="F18" s="1876">
        <v>6700</v>
      </c>
      <c r="G18" s="488">
        <v>6702</v>
      </c>
      <c r="H18" s="532">
        <v>450</v>
      </c>
    </row>
    <row r="19" spans="1:8" s="530" customFormat="1" ht="21" customHeight="1" x14ac:dyDescent="0.2">
      <c r="A19" s="1888"/>
      <c r="B19" s="1879"/>
      <c r="C19" s="1885"/>
      <c r="D19" s="1885"/>
      <c r="E19" s="1882"/>
      <c r="F19" s="1879"/>
      <c r="G19" s="632">
        <v>6703</v>
      </c>
      <c r="H19" s="633">
        <v>1050</v>
      </c>
    </row>
    <row r="20" spans="1:8" s="530" customFormat="1" ht="21" customHeight="1" x14ac:dyDescent="0.2">
      <c r="A20" s="1888"/>
      <c r="B20" s="1890">
        <v>830</v>
      </c>
      <c r="C20" s="1883" t="s">
        <v>469</v>
      </c>
      <c r="D20" s="1883" t="s">
        <v>476</v>
      </c>
      <c r="E20" s="1880">
        <v>171</v>
      </c>
      <c r="F20" s="630">
        <v>6750</v>
      </c>
      <c r="G20" s="630">
        <v>6754</v>
      </c>
      <c r="H20" s="631">
        <v>2100</v>
      </c>
    </row>
    <row r="21" spans="1:8" s="530" customFormat="1" ht="21" customHeight="1" x14ac:dyDescent="0.2">
      <c r="A21" s="1888"/>
      <c r="B21" s="1877"/>
      <c r="C21" s="1884"/>
      <c r="D21" s="1884"/>
      <c r="E21" s="1881"/>
      <c r="F21" s="598">
        <v>7000</v>
      </c>
      <c r="G21" s="488">
        <v>7049</v>
      </c>
      <c r="H21" s="533">
        <v>10400</v>
      </c>
    </row>
    <row r="22" spans="1:8" s="530" customFormat="1" ht="21" customHeight="1" x14ac:dyDescent="0.2">
      <c r="A22" s="1889"/>
      <c r="B22" s="1879"/>
      <c r="C22" s="1885"/>
      <c r="D22" s="1885"/>
      <c r="E22" s="1882"/>
      <c r="F22" s="634">
        <v>7750</v>
      </c>
      <c r="G22" s="632">
        <v>7799</v>
      </c>
      <c r="H22" s="635">
        <v>7500</v>
      </c>
    </row>
    <row r="23" spans="1:8" s="530" customFormat="1" ht="21" customHeight="1" x14ac:dyDescent="0.2">
      <c r="A23" s="1887" t="s">
        <v>471</v>
      </c>
      <c r="B23" s="1890">
        <v>832</v>
      </c>
      <c r="C23" s="1883" t="s">
        <v>472</v>
      </c>
      <c r="D23" s="1883" t="s">
        <v>470</v>
      </c>
      <c r="E23" s="1880" t="s">
        <v>401</v>
      </c>
      <c r="F23" s="1890">
        <v>6650</v>
      </c>
      <c r="G23" s="630">
        <v>6651</v>
      </c>
      <c r="H23" s="636">
        <v>560</v>
      </c>
    </row>
    <row r="24" spans="1:8" s="530" customFormat="1" ht="21" customHeight="1" x14ac:dyDescent="0.2">
      <c r="A24" s="1888"/>
      <c r="B24" s="1877"/>
      <c r="C24" s="1884"/>
      <c r="D24" s="1884"/>
      <c r="E24" s="1881"/>
      <c r="F24" s="1877"/>
      <c r="G24" s="488">
        <v>6652</v>
      </c>
      <c r="H24" s="532">
        <v>900</v>
      </c>
    </row>
    <row r="25" spans="1:8" s="530" customFormat="1" ht="21" customHeight="1" x14ac:dyDescent="0.2">
      <c r="A25" s="1889"/>
      <c r="B25" s="1879"/>
      <c r="C25" s="1885"/>
      <c r="D25" s="1885"/>
      <c r="E25" s="1882"/>
      <c r="F25" s="1879"/>
      <c r="G25" s="632">
        <v>6699</v>
      </c>
      <c r="H25" s="633">
        <v>3540</v>
      </c>
    </row>
    <row r="26" spans="1:8" s="530" customFormat="1" ht="21" customHeight="1" x14ac:dyDescent="0.2">
      <c r="A26" s="1878" t="s">
        <v>477</v>
      </c>
      <c r="B26" s="1878">
        <v>820</v>
      </c>
      <c r="C26" s="1910">
        <v>10518</v>
      </c>
      <c r="D26" s="1912">
        <v>370</v>
      </c>
      <c r="E26" s="1908">
        <v>398</v>
      </c>
      <c r="F26" s="637">
        <v>6600</v>
      </c>
      <c r="G26" s="637">
        <v>6606</v>
      </c>
      <c r="H26" s="638">
        <v>6500</v>
      </c>
    </row>
    <row r="27" spans="1:8" s="530" customFormat="1" ht="21" customHeight="1" x14ac:dyDescent="0.2">
      <c r="A27" s="1918"/>
      <c r="B27" s="1918"/>
      <c r="C27" s="1910"/>
      <c r="D27" s="1912"/>
      <c r="E27" s="1909"/>
      <c r="F27" s="639">
        <v>6650</v>
      </c>
      <c r="G27" s="639">
        <v>6699</v>
      </c>
      <c r="H27" s="640">
        <v>1000</v>
      </c>
    </row>
    <row r="28" spans="1:8" s="530" customFormat="1" ht="21" customHeight="1" x14ac:dyDescent="0.2">
      <c r="A28" s="1918"/>
      <c r="B28" s="1918"/>
      <c r="C28" s="1910"/>
      <c r="D28" s="1912"/>
      <c r="E28" s="1909"/>
      <c r="F28" s="639">
        <v>6750</v>
      </c>
      <c r="G28" s="639">
        <v>6754</v>
      </c>
      <c r="H28" s="640">
        <v>6000</v>
      </c>
    </row>
    <row r="29" spans="1:8" s="530" customFormat="1" ht="21" customHeight="1" x14ac:dyDescent="0.2">
      <c r="A29" s="1918"/>
      <c r="B29" s="1918"/>
      <c r="C29" s="1911"/>
      <c r="D29" s="1912"/>
      <c r="E29" s="1909"/>
      <c r="F29" s="639">
        <v>7700</v>
      </c>
      <c r="G29" s="488">
        <v>7799</v>
      </c>
      <c r="H29" s="533">
        <v>7500</v>
      </c>
    </row>
    <row r="30" spans="1:8" s="530" customFormat="1" ht="21" customHeight="1" x14ac:dyDescent="0.2">
      <c r="A30" s="1894"/>
      <c r="B30" s="1894"/>
      <c r="C30" s="918">
        <v>20518</v>
      </c>
      <c r="D30" s="1913"/>
      <c r="E30" s="1898"/>
      <c r="F30" s="641">
        <v>6650</v>
      </c>
      <c r="G30" s="632">
        <v>6699</v>
      </c>
      <c r="H30" s="635">
        <v>1000</v>
      </c>
    </row>
    <row r="31" spans="1:8" s="530" customFormat="1" ht="21" customHeight="1" x14ac:dyDescent="0.2">
      <c r="A31" s="526" t="s">
        <v>478</v>
      </c>
      <c r="B31" s="642"/>
      <c r="C31" s="642"/>
      <c r="D31" s="642"/>
      <c r="E31" s="643"/>
      <c r="F31" s="642"/>
      <c r="G31" s="642"/>
      <c r="H31" s="534">
        <f>SUM(H32:H48)</f>
        <v>187115.38800000001</v>
      </c>
    </row>
    <row r="32" spans="1:8" ht="21" customHeight="1" x14ac:dyDescent="0.2">
      <c r="A32" s="1887" t="s">
        <v>473</v>
      </c>
      <c r="B32" s="1900">
        <v>832</v>
      </c>
      <c r="C32" s="1905">
        <v>10476</v>
      </c>
      <c r="D32" s="1905">
        <v>160</v>
      </c>
      <c r="E32" s="1905">
        <v>171</v>
      </c>
      <c r="F32" s="644">
        <v>6500</v>
      </c>
      <c r="G32" s="644">
        <v>6505</v>
      </c>
      <c r="H32" s="636">
        <v>1032</v>
      </c>
    </row>
    <row r="33" spans="1:8" ht="21" customHeight="1" x14ac:dyDescent="0.2">
      <c r="A33" s="1888"/>
      <c r="B33" s="1901"/>
      <c r="C33" s="1906"/>
      <c r="D33" s="1906"/>
      <c r="E33" s="1906"/>
      <c r="F33" s="1903">
        <v>6650</v>
      </c>
      <c r="G33" s="645">
        <v>6651</v>
      </c>
      <c r="H33" s="532">
        <v>1213.8979999999999</v>
      </c>
    </row>
    <row r="34" spans="1:8" ht="21" customHeight="1" x14ac:dyDescent="0.2">
      <c r="A34" s="1888"/>
      <c r="B34" s="1901"/>
      <c r="C34" s="1906"/>
      <c r="D34" s="1906"/>
      <c r="E34" s="1906"/>
      <c r="F34" s="1901"/>
      <c r="G34" s="645">
        <v>6652</v>
      </c>
      <c r="H34" s="532">
        <v>2000</v>
      </c>
    </row>
    <row r="35" spans="1:8" s="530" customFormat="1" ht="21" customHeight="1" x14ac:dyDescent="0.2">
      <c r="A35" s="1888"/>
      <c r="B35" s="1901"/>
      <c r="C35" s="1906"/>
      <c r="D35" s="1906"/>
      <c r="E35" s="1906"/>
      <c r="F35" s="1904"/>
      <c r="G35" s="645">
        <v>6699</v>
      </c>
      <c r="H35" s="532">
        <v>9752.99</v>
      </c>
    </row>
    <row r="36" spans="1:8" s="530" customFormat="1" ht="21" customHeight="1" x14ac:dyDescent="0.2">
      <c r="A36" s="1888"/>
      <c r="B36" s="1901"/>
      <c r="C36" s="1906"/>
      <c r="D36" s="1906"/>
      <c r="E36" s="1906"/>
      <c r="F36" s="1903">
        <v>6700</v>
      </c>
      <c r="G36" s="645">
        <v>6702</v>
      </c>
      <c r="H36" s="532">
        <v>300</v>
      </c>
    </row>
    <row r="37" spans="1:8" s="530" customFormat="1" ht="21" customHeight="1" x14ac:dyDescent="0.2">
      <c r="A37" s="1889"/>
      <c r="B37" s="1902"/>
      <c r="C37" s="1907"/>
      <c r="D37" s="1907"/>
      <c r="E37" s="1907"/>
      <c r="F37" s="1902"/>
      <c r="G37" s="646">
        <v>6703</v>
      </c>
      <c r="H37" s="633">
        <v>700</v>
      </c>
    </row>
    <row r="38" spans="1:8" s="530" customFormat="1" ht="21" customHeight="1" x14ac:dyDescent="0.2">
      <c r="A38" s="1887" t="s">
        <v>474</v>
      </c>
      <c r="B38" s="1900">
        <v>831</v>
      </c>
      <c r="C38" s="647">
        <v>10476</v>
      </c>
      <c r="D38" s="647">
        <v>160</v>
      </c>
      <c r="E38" s="647">
        <v>171</v>
      </c>
      <c r="F38" s="644">
        <v>6600</v>
      </c>
      <c r="G38" s="644">
        <v>6606</v>
      </c>
      <c r="H38" s="636">
        <v>40000</v>
      </c>
    </row>
    <row r="39" spans="1:8" s="530" customFormat="1" ht="21" customHeight="1" x14ac:dyDescent="0.2">
      <c r="A39" s="1917"/>
      <c r="B39" s="1902"/>
      <c r="C39" s="648">
        <v>20476</v>
      </c>
      <c r="D39" s="648">
        <v>160</v>
      </c>
      <c r="E39" s="648">
        <v>171</v>
      </c>
      <c r="F39" s="646">
        <v>6600</v>
      </c>
      <c r="G39" s="646">
        <v>6606</v>
      </c>
      <c r="H39" s="633">
        <v>1000</v>
      </c>
    </row>
    <row r="40" spans="1:8" s="530" customFormat="1" ht="21" customHeight="1" x14ac:dyDescent="0.2">
      <c r="A40" s="1887" t="s">
        <v>475</v>
      </c>
      <c r="B40" s="1901">
        <v>831</v>
      </c>
      <c r="C40" s="1906">
        <v>10477</v>
      </c>
      <c r="D40" s="1906">
        <v>340</v>
      </c>
      <c r="E40" s="1906">
        <v>341</v>
      </c>
      <c r="F40" s="649">
        <v>6550</v>
      </c>
      <c r="G40" s="649">
        <v>6551</v>
      </c>
      <c r="H40" s="1733">
        <v>945</v>
      </c>
    </row>
    <row r="41" spans="1:8" s="530" customFormat="1" ht="21" customHeight="1" x14ac:dyDescent="0.2">
      <c r="A41" s="1888"/>
      <c r="B41" s="1901"/>
      <c r="C41" s="1906"/>
      <c r="D41" s="1906"/>
      <c r="E41" s="1906"/>
      <c r="F41" s="1903">
        <v>6650</v>
      </c>
      <c r="G41" s="645">
        <v>6651</v>
      </c>
      <c r="H41" s="532">
        <v>3166.8</v>
      </c>
    </row>
    <row r="42" spans="1:8" s="530" customFormat="1" ht="21" customHeight="1" x14ac:dyDescent="0.2">
      <c r="A42" s="1888"/>
      <c r="B42" s="1901"/>
      <c r="C42" s="1906"/>
      <c r="D42" s="1906"/>
      <c r="E42" s="1906"/>
      <c r="F42" s="1901"/>
      <c r="G42" s="645">
        <v>6652</v>
      </c>
      <c r="H42" s="532">
        <v>1600</v>
      </c>
    </row>
    <row r="43" spans="1:8" s="530" customFormat="1" ht="21" customHeight="1" x14ac:dyDescent="0.2">
      <c r="A43" s="1888"/>
      <c r="B43" s="1901"/>
      <c r="C43" s="1906"/>
      <c r="D43" s="1906"/>
      <c r="E43" s="1906"/>
      <c r="F43" s="1901"/>
      <c r="G43" s="645">
        <v>6655</v>
      </c>
      <c r="H43" s="532">
        <v>2500</v>
      </c>
    </row>
    <row r="44" spans="1:8" s="530" customFormat="1" ht="21" customHeight="1" x14ac:dyDescent="0.2">
      <c r="A44" s="1888"/>
      <c r="B44" s="1901"/>
      <c r="C44" s="1906"/>
      <c r="D44" s="1906"/>
      <c r="E44" s="1906"/>
      <c r="F44" s="1904"/>
      <c r="G44" s="645">
        <v>6699</v>
      </c>
      <c r="H44" s="532">
        <v>12202.2</v>
      </c>
    </row>
    <row r="45" spans="1:8" s="530" customFormat="1" ht="21" customHeight="1" x14ac:dyDescent="0.2">
      <c r="A45" s="1888"/>
      <c r="B45" s="1901"/>
      <c r="C45" s="1906"/>
      <c r="D45" s="1906"/>
      <c r="E45" s="1906"/>
      <c r="F45" s="1903">
        <v>6700</v>
      </c>
      <c r="G45" s="645">
        <v>6702</v>
      </c>
      <c r="H45" s="532">
        <v>40800</v>
      </c>
    </row>
    <row r="46" spans="1:8" s="530" customFormat="1" ht="21" customHeight="1" x14ac:dyDescent="0.2">
      <c r="A46" s="1888"/>
      <c r="B46" s="1901"/>
      <c r="C46" s="1906"/>
      <c r="D46" s="1906"/>
      <c r="E46" s="1906"/>
      <c r="F46" s="1904"/>
      <c r="G46" s="645">
        <v>6703</v>
      </c>
      <c r="H46" s="532">
        <v>40800</v>
      </c>
    </row>
    <row r="47" spans="1:8" s="530" customFormat="1" ht="21" customHeight="1" x14ac:dyDescent="0.2">
      <c r="A47" s="1888"/>
      <c r="B47" s="1901"/>
      <c r="C47" s="1906"/>
      <c r="D47" s="1906"/>
      <c r="E47" s="1906"/>
      <c r="F47" s="645">
        <v>6750</v>
      </c>
      <c r="G47" s="645">
        <v>6751</v>
      </c>
      <c r="H47" s="532">
        <v>28000</v>
      </c>
    </row>
    <row r="48" spans="1:8" s="530" customFormat="1" ht="21" customHeight="1" x14ac:dyDescent="0.2">
      <c r="A48" s="1889"/>
      <c r="B48" s="1902"/>
      <c r="C48" s="1907"/>
      <c r="D48" s="1907"/>
      <c r="E48" s="1907"/>
      <c r="F48" s="646">
        <v>7000</v>
      </c>
      <c r="G48" s="646">
        <v>7001</v>
      </c>
      <c r="H48" s="633">
        <v>1102.5</v>
      </c>
    </row>
    <row r="49" spans="1:8" ht="21" customHeight="1" x14ac:dyDescent="0.2">
      <c r="A49" s="1463" t="s">
        <v>819</v>
      </c>
      <c r="B49" s="528"/>
      <c r="C49" s="528"/>
      <c r="D49" s="623"/>
      <c r="E49" s="528"/>
      <c r="F49" s="528"/>
      <c r="G49" s="528"/>
      <c r="H49" s="534">
        <f>H50</f>
        <v>201053.7</v>
      </c>
    </row>
    <row r="50" spans="1:8" ht="21" customHeight="1" x14ac:dyDescent="0.2">
      <c r="A50" s="1464" t="s">
        <v>526</v>
      </c>
      <c r="B50" s="623"/>
      <c r="C50" s="623"/>
      <c r="D50" s="623"/>
      <c r="E50" s="623"/>
      <c r="F50" s="623"/>
      <c r="G50" s="623"/>
      <c r="H50" s="919">
        <f>H51+H52</f>
        <v>201053.7</v>
      </c>
    </row>
    <row r="51" spans="1:8" s="530" customFormat="1" ht="36" customHeight="1" x14ac:dyDescent="0.2">
      <c r="A51" s="1055" t="s">
        <v>816</v>
      </c>
      <c r="B51" s="1406">
        <v>831</v>
      </c>
      <c r="C51" s="1405"/>
      <c r="D51" s="1405" t="s">
        <v>529</v>
      </c>
      <c r="E51" s="1404">
        <v>282</v>
      </c>
      <c r="F51" s="1407">
        <v>7750</v>
      </c>
      <c r="G51" s="1407">
        <v>7799</v>
      </c>
      <c r="H51" s="631">
        <v>111053.7</v>
      </c>
    </row>
    <row r="52" spans="1:8" ht="29.25" customHeight="1" x14ac:dyDescent="0.2">
      <c r="A52" s="1465" t="s">
        <v>817</v>
      </c>
      <c r="B52" s="1466"/>
      <c r="C52" s="1466"/>
      <c r="D52" s="1466">
        <v>280</v>
      </c>
      <c r="E52" s="1466">
        <v>312</v>
      </c>
      <c r="F52" s="1466">
        <v>6900</v>
      </c>
      <c r="G52" s="1466">
        <v>6922</v>
      </c>
      <c r="H52" s="1467">
        <v>90000</v>
      </c>
    </row>
    <row r="54" spans="1:8" s="524" customFormat="1" ht="22.5" hidden="1" customHeight="1" x14ac:dyDescent="0.2">
      <c r="A54" s="650" t="s">
        <v>479</v>
      </c>
      <c r="E54" s="1915" t="s">
        <v>963</v>
      </c>
      <c r="F54" s="1915"/>
      <c r="G54" s="1915"/>
      <c r="H54" s="1915"/>
    </row>
    <row r="55" spans="1:8" s="524" customFormat="1" hidden="1" x14ac:dyDescent="0.2">
      <c r="A55" s="651" t="s">
        <v>462</v>
      </c>
      <c r="B55" s="1916" t="s">
        <v>962</v>
      </c>
      <c r="C55" s="1916"/>
      <c r="D55" s="1916"/>
      <c r="E55" s="1916" t="s">
        <v>461</v>
      </c>
      <c r="F55" s="1916"/>
      <c r="G55" s="1916"/>
      <c r="H55" s="1916"/>
    </row>
    <row r="56" spans="1:8" s="524" customFormat="1" hidden="1" x14ac:dyDescent="0.2">
      <c r="A56" s="650" t="s">
        <v>14</v>
      </c>
      <c r="E56" s="1916" t="s">
        <v>378</v>
      </c>
      <c r="F56" s="1916"/>
      <c r="G56" s="1916"/>
      <c r="H56" s="1916"/>
    </row>
    <row r="57" spans="1:8" s="524" customFormat="1" hidden="1" x14ac:dyDescent="0.2">
      <c r="A57" s="650"/>
    </row>
    <row r="58" spans="1:8" s="524" customFormat="1" hidden="1" x14ac:dyDescent="0.2">
      <c r="A58" s="531"/>
    </row>
    <row r="59" spans="1:8" s="524" customFormat="1" hidden="1" x14ac:dyDescent="0.2">
      <c r="A59" s="531"/>
    </row>
    <row r="60" spans="1:8" hidden="1" x14ac:dyDescent="0.2"/>
    <row r="61" spans="1:8" hidden="1" x14ac:dyDescent="0.2"/>
    <row r="62" spans="1:8" hidden="1" x14ac:dyDescent="0.2">
      <c r="B62" s="1914" t="s">
        <v>695</v>
      </c>
      <c r="C62" s="1914"/>
      <c r="D62" s="1914"/>
      <c r="E62" s="1914" t="s">
        <v>460</v>
      </c>
      <c r="F62" s="1914"/>
      <c r="G62" s="1914"/>
      <c r="H62" s="1914"/>
    </row>
    <row r="63" spans="1:8" hidden="1" x14ac:dyDescent="0.2"/>
    <row r="64" spans="1:8" hidden="1" x14ac:dyDescent="0.2"/>
    <row r="65" hidden="1" x14ac:dyDescent="0.2"/>
    <row r="66" hidden="1" x14ac:dyDescent="0.2"/>
    <row r="67" hidden="1" x14ac:dyDescent="0.2"/>
  </sheetData>
  <mergeCells count="51">
    <mergeCell ref="B23:B25"/>
    <mergeCell ref="A23:A25"/>
    <mergeCell ref="B20:B22"/>
    <mergeCell ref="A38:A39"/>
    <mergeCell ref="B38:B39"/>
    <mergeCell ref="A26:A30"/>
    <mergeCell ref="B26:B30"/>
    <mergeCell ref="E26:E30"/>
    <mergeCell ref="C26:C29"/>
    <mergeCell ref="D26:D30"/>
    <mergeCell ref="E62:H62"/>
    <mergeCell ref="E54:H54"/>
    <mergeCell ref="E55:H55"/>
    <mergeCell ref="E56:H56"/>
    <mergeCell ref="B55:D55"/>
    <mergeCell ref="B62:D62"/>
    <mergeCell ref="B40:B48"/>
    <mergeCell ref="C40:C48"/>
    <mergeCell ref="D40:D48"/>
    <mergeCell ref="E40:E48"/>
    <mergeCell ref="F41:F44"/>
    <mergeCell ref="F45:F46"/>
    <mergeCell ref="A40:A48"/>
    <mergeCell ref="B32:B37"/>
    <mergeCell ref="A32:A37"/>
    <mergeCell ref="C14:C19"/>
    <mergeCell ref="F33:F35"/>
    <mergeCell ref="F36:F37"/>
    <mergeCell ref="E32:E37"/>
    <mergeCell ref="D32:D37"/>
    <mergeCell ref="C32:C37"/>
    <mergeCell ref="C20:C22"/>
    <mergeCell ref="D20:D22"/>
    <mergeCell ref="E20:E22"/>
    <mergeCell ref="F23:F25"/>
    <mergeCell ref="E23:E25"/>
    <mergeCell ref="D23:D25"/>
    <mergeCell ref="C23:C25"/>
    <mergeCell ref="G1:H1"/>
    <mergeCell ref="F15:F17"/>
    <mergeCell ref="F18:F19"/>
    <mergeCell ref="E14:E19"/>
    <mergeCell ref="D14:D19"/>
    <mergeCell ref="A2:H2"/>
    <mergeCell ref="A14:A22"/>
    <mergeCell ref="B14:B19"/>
    <mergeCell ref="A10:A11"/>
    <mergeCell ref="B10:B11"/>
    <mergeCell ref="D10:D11"/>
    <mergeCell ref="E10:E11"/>
    <mergeCell ref="A3:H3"/>
  </mergeCells>
  <printOptions horizontalCentered="1"/>
  <pageMargins left="7.8740157480315001E-2" right="0.15748031496063" top="0.45" bottom="0.39" header="0.48" footer="0.39"/>
  <pageSetup paperSize="9" scale="85" firstPageNumber="80" orientation="portrait" useFirstPageNumber="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zoomScale="115" zoomScaleNormal="115" zoomScaleSheetLayoutView="85" workbookViewId="0">
      <selection activeCell="D9" sqref="D9"/>
    </sheetView>
  </sheetViews>
  <sheetFormatPr defaultColWidth="9.140625" defaultRowHeight="15" x14ac:dyDescent="0.25"/>
  <cols>
    <col min="1" max="1" width="5.5703125" style="1" customWidth="1"/>
    <col min="2" max="2" width="73.140625" style="1" customWidth="1"/>
    <col min="3" max="3" width="16.42578125" style="407" customWidth="1"/>
    <col min="4" max="4" width="14.28515625" style="1" customWidth="1"/>
    <col min="5" max="5" width="9.140625" style="1" customWidth="1"/>
    <col min="6" max="6" width="13" style="1" hidden="1" customWidth="1"/>
    <col min="7" max="7" width="19.140625" style="1" hidden="1" customWidth="1"/>
    <col min="8" max="14" width="9.140625" style="1" customWidth="1"/>
    <col min="15" max="16384" width="9.140625" style="1"/>
  </cols>
  <sheetData>
    <row r="1" spans="1:7" s="239" customFormat="1" x14ac:dyDescent="0.25">
      <c r="A1" s="240" t="str">
        <f>'48N'!A1</f>
        <v>UBND PHƯỜNG ĐỨC XUÂN</v>
      </c>
      <c r="C1" s="1875" t="s">
        <v>964</v>
      </c>
      <c r="D1" s="1875"/>
    </row>
    <row r="2" spans="1:7" ht="28.5" customHeight="1" x14ac:dyDescent="0.25">
      <c r="A2" s="1763" t="s">
        <v>599</v>
      </c>
      <c r="B2" s="1763"/>
      <c r="C2" s="1763"/>
      <c r="D2" s="1763"/>
    </row>
    <row r="3" spans="1:7" ht="19.5" customHeight="1" x14ac:dyDescent="0.25">
      <c r="A3" s="1919" t="str">
        <f>'48N'!A4:F4</f>
        <v>(Kèm theo Tờ trình số    /TTr-KTHT&amp;ĐT ngày      /4/2026 của phòng KTHT&amp;ĐT phường Đức Xuân)</v>
      </c>
      <c r="B3" s="1919"/>
      <c r="C3" s="1919"/>
      <c r="D3" s="1919"/>
    </row>
    <row r="4" spans="1:7" ht="12" customHeight="1" x14ac:dyDescent="0.25">
      <c r="A4" s="236"/>
      <c r="B4" s="236"/>
      <c r="C4" s="406"/>
      <c r="D4" s="236"/>
    </row>
    <row r="5" spans="1:7" ht="15" customHeight="1" x14ac:dyDescent="0.25">
      <c r="D5" s="241" t="s">
        <v>427</v>
      </c>
    </row>
    <row r="6" spans="1:7" ht="17.25" customHeight="1" x14ac:dyDescent="0.25">
      <c r="A6" s="1052"/>
      <c r="B6" s="1051" t="s">
        <v>2</v>
      </c>
      <c r="C6" s="1053" t="s">
        <v>602</v>
      </c>
      <c r="D6" s="1051" t="s">
        <v>52</v>
      </c>
    </row>
    <row r="7" spans="1:7" ht="16.149999999999999" customHeight="1" x14ac:dyDescent="0.25">
      <c r="A7" s="1070" t="s">
        <v>4</v>
      </c>
      <c r="B7" s="1070" t="s">
        <v>5</v>
      </c>
      <c r="C7" s="1070">
        <v>1</v>
      </c>
      <c r="D7" s="1070">
        <v>2</v>
      </c>
    </row>
    <row r="8" spans="1:7" s="20" customFormat="1" ht="18" customHeight="1" x14ac:dyDescent="0.2">
      <c r="A8" s="1098"/>
      <c r="B8" s="1099" t="s">
        <v>129</v>
      </c>
      <c r="C8" s="1100">
        <f>C9+C12+C68+C66</f>
        <v>20789341.049000002</v>
      </c>
      <c r="D8" s="1098"/>
    </row>
    <row r="9" spans="1:7" s="20" customFormat="1" ht="18" customHeight="1" x14ac:dyDescent="0.2">
      <c r="A9" s="1098">
        <v>1</v>
      </c>
      <c r="B9" s="1099" t="s">
        <v>130</v>
      </c>
      <c r="C9" s="1094">
        <f>SUM(C10:C11)</f>
        <v>0</v>
      </c>
      <c r="D9" s="1098"/>
    </row>
    <row r="10" spans="1:7" hidden="1" x14ac:dyDescent="0.25">
      <c r="A10" s="1070" t="s">
        <v>273</v>
      </c>
      <c r="B10" s="1095"/>
      <c r="C10" s="1096"/>
      <c r="D10" s="1070"/>
    </row>
    <row r="11" spans="1:7" hidden="1" x14ac:dyDescent="0.25">
      <c r="A11" s="1070" t="s">
        <v>273</v>
      </c>
      <c r="B11" s="1095"/>
      <c r="C11" s="1096"/>
      <c r="D11" s="1070"/>
    </row>
    <row r="12" spans="1:7" s="20" customFormat="1" ht="21" customHeight="1" x14ac:dyDescent="0.2">
      <c r="A12" s="1098">
        <v>2</v>
      </c>
      <c r="B12" s="1099" t="s">
        <v>131</v>
      </c>
      <c r="C12" s="1094">
        <f>SUM(C13:C65)</f>
        <v>19019341.049000002</v>
      </c>
      <c r="D12" s="1098"/>
    </row>
    <row r="13" spans="1:7" ht="19.5" customHeight="1" x14ac:dyDescent="0.25">
      <c r="A13" s="1070" t="s">
        <v>25</v>
      </c>
      <c r="B13" s="1102" t="s">
        <v>605</v>
      </c>
      <c r="C13" s="1104">
        <v>80000</v>
      </c>
      <c r="D13" s="1101"/>
    </row>
    <row r="14" spans="1:7" ht="19.5" customHeight="1" x14ac:dyDescent="0.25">
      <c r="A14" s="1070" t="s">
        <v>273</v>
      </c>
      <c r="B14" s="1105" t="s">
        <v>606</v>
      </c>
      <c r="C14" s="1096">
        <v>4500</v>
      </c>
      <c r="D14" s="1101"/>
    </row>
    <row r="15" spans="1:7" ht="19.5" customHeight="1" x14ac:dyDescent="0.25">
      <c r="A15" s="1070" t="s">
        <v>273</v>
      </c>
      <c r="B15" s="1105" t="s">
        <v>607</v>
      </c>
      <c r="C15" s="1096">
        <v>33200</v>
      </c>
      <c r="D15" s="1101"/>
      <c r="F15" s="20" t="s">
        <v>603</v>
      </c>
      <c r="G15" s="1091">
        <v>49353481.030000001</v>
      </c>
    </row>
    <row r="16" spans="1:7" ht="19.5" customHeight="1" x14ac:dyDescent="0.25">
      <c r="A16" s="1070"/>
      <c r="B16" s="1105" t="s">
        <v>608</v>
      </c>
      <c r="C16" s="1096">
        <v>52900</v>
      </c>
      <c r="D16" s="1101"/>
      <c r="F16" s="1" t="s">
        <v>604</v>
      </c>
      <c r="G16" s="1">
        <v>28564139.554000001</v>
      </c>
    </row>
    <row r="17" spans="1:7" ht="19.5" customHeight="1" x14ac:dyDescent="0.25">
      <c r="A17" s="1070"/>
      <c r="B17" s="1105" t="s">
        <v>609</v>
      </c>
      <c r="C17" s="1096">
        <v>5000</v>
      </c>
      <c r="D17" s="1101"/>
    </row>
    <row r="18" spans="1:7" ht="19.5" customHeight="1" x14ac:dyDescent="0.25">
      <c r="A18" s="1070"/>
      <c r="B18" s="1105" t="s">
        <v>610</v>
      </c>
      <c r="C18" s="1096">
        <v>21500</v>
      </c>
      <c r="D18" s="1101"/>
      <c r="F18" s="20"/>
      <c r="G18" s="333">
        <f>G15-G16</f>
        <v>20789341.476</v>
      </c>
    </row>
    <row r="19" spans="1:7" ht="19.5" customHeight="1" x14ac:dyDescent="0.25">
      <c r="A19" s="1070"/>
      <c r="B19" s="1105" t="s">
        <v>611</v>
      </c>
      <c r="C19" s="1096">
        <v>4000</v>
      </c>
      <c r="D19" s="1101"/>
      <c r="G19" s="1093">
        <f>G18-C8</f>
        <v>0.42699999734759331</v>
      </c>
    </row>
    <row r="20" spans="1:7" ht="19.5" customHeight="1" x14ac:dyDescent="0.25">
      <c r="A20" s="1070"/>
      <c r="B20" s="1097" t="s">
        <v>612</v>
      </c>
      <c r="C20" s="1096">
        <v>23560</v>
      </c>
      <c r="D20" s="1101"/>
    </row>
    <row r="21" spans="1:7" ht="19.5" customHeight="1" x14ac:dyDescent="0.25">
      <c r="A21" s="1070" t="s">
        <v>273</v>
      </c>
      <c r="B21" s="1097" t="s">
        <v>613</v>
      </c>
      <c r="C21" s="1096">
        <v>30000</v>
      </c>
      <c r="D21" s="1101"/>
    </row>
    <row r="22" spans="1:7" ht="19.5" customHeight="1" x14ac:dyDescent="0.25">
      <c r="A22" s="1070" t="s">
        <v>273</v>
      </c>
      <c r="B22" s="1097" t="s">
        <v>614</v>
      </c>
      <c r="C22" s="1096">
        <v>15000</v>
      </c>
      <c r="D22" s="1101"/>
    </row>
    <row r="23" spans="1:7" ht="20.25" customHeight="1" x14ac:dyDescent="0.25">
      <c r="A23" s="1070"/>
      <c r="B23" s="1097" t="s">
        <v>615</v>
      </c>
      <c r="C23" s="1096">
        <v>15000</v>
      </c>
      <c r="D23" s="1101"/>
    </row>
    <row r="24" spans="1:7" ht="20.25" customHeight="1" x14ac:dyDescent="0.25">
      <c r="A24" s="1070" t="s">
        <v>273</v>
      </c>
      <c r="B24" s="1097" t="s">
        <v>616</v>
      </c>
      <c r="C24" s="1096">
        <v>15000</v>
      </c>
      <c r="D24" s="1101"/>
    </row>
    <row r="25" spans="1:7" ht="20.25" customHeight="1" x14ac:dyDescent="0.25">
      <c r="A25" s="1070" t="s">
        <v>273</v>
      </c>
      <c r="B25" s="1097" t="s">
        <v>617</v>
      </c>
      <c r="C25" s="1096">
        <v>15000</v>
      </c>
      <c r="D25" s="1101"/>
    </row>
    <row r="26" spans="1:7" ht="20.25" customHeight="1" x14ac:dyDescent="0.25">
      <c r="A26" s="1070" t="str">
        <f>A25</f>
        <v xml:space="preserve"> - </v>
      </c>
      <c r="B26" s="1097" t="s">
        <v>618</v>
      </c>
      <c r="C26" s="1096">
        <v>77000</v>
      </c>
      <c r="D26" s="1101"/>
    </row>
    <row r="27" spans="1:7" ht="20.25" customHeight="1" x14ac:dyDescent="0.25">
      <c r="A27" s="1070"/>
      <c r="B27" s="1097" t="s">
        <v>650</v>
      </c>
      <c r="C27" s="1096">
        <v>15000</v>
      </c>
      <c r="D27" s="1101"/>
    </row>
    <row r="28" spans="1:7" ht="28.5" customHeight="1" x14ac:dyDescent="0.25">
      <c r="A28" s="1070"/>
      <c r="B28" s="1097" t="s">
        <v>649</v>
      </c>
      <c r="C28" s="1096">
        <v>-25000</v>
      </c>
      <c r="D28" s="1101"/>
    </row>
    <row r="29" spans="1:7" ht="18.75" customHeight="1" x14ac:dyDescent="0.25">
      <c r="A29" s="1070"/>
      <c r="B29" s="1097" t="s">
        <v>626</v>
      </c>
      <c r="C29" s="1096">
        <v>35000</v>
      </c>
      <c r="D29" s="1101"/>
    </row>
    <row r="30" spans="1:7" ht="18.75" customHeight="1" x14ac:dyDescent="0.25">
      <c r="A30" s="1070"/>
      <c r="B30" s="1097" t="s">
        <v>648</v>
      </c>
      <c r="C30" s="1096">
        <v>95000</v>
      </c>
      <c r="D30" s="1101"/>
    </row>
    <row r="31" spans="1:7" ht="18.75" customHeight="1" x14ac:dyDescent="0.25">
      <c r="A31" s="1070"/>
      <c r="B31" s="1097" t="s">
        <v>647</v>
      </c>
      <c r="C31" s="1096">
        <v>-266977.3</v>
      </c>
      <c r="D31" s="1101"/>
    </row>
    <row r="32" spans="1:7" ht="19.5" customHeight="1" x14ac:dyDescent="0.25">
      <c r="A32" s="1070"/>
      <c r="B32" s="1097" t="s">
        <v>646</v>
      </c>
      <c r="C32" s="1096">
        <v>67500</v>
      </c>
      <c r="D32" s="1101"/>
    </row>
    <row r="33" spans="1:4" ht="19.5" customHeight="1" x14ac:dyDescent="0.25">
      <c r="A33" s="1070"/>
      <c r="B33" s="1097" t="s">
        <v>641</v>
      </c>
      <c r="C33" s="1096">
        <v>-296137.15500000003</v>
      </c>
      <c r="D33" s="1101"/>
    </row>
    <row r="34" spans="1:4" ht="19.5" customHeight="1" x14ac:dyDescent="0.25">
      <c r="A34" s="1070"/>
      <c r="B34" s="1097" t="s">
        <v>645</v>
      </c>
      <c r="C34" s="1096">
        <v>61300</v>
      </c>
      <c r="D34" s="1101"/>
    </row>
    <row r="35" spans="1:4" ht="19.5" customHeight="1" x14ac:dyDescent="0.25">
      <c r="A35" s="1070"/>
      <c r="B35" s="1097" t="s">
        <v>644</v>
      </c>
      <c r="C35" s="1096">
        <v>10000</v>
      </c>
      <c r="D35" s="1101"/>
    </row>
    <row r="36" spans="1:4" ht="19.5" customHeight="1" x14ac:dyDescent="0.25">
      <c r="A36" s="1070"/>
      <c r="B36" s="1097" t="s">
        <v>575</v>
      </c>
      <c r="C36" s="1096">
        <v>10000</v>
      </c>
      <c r="D36" s="1101"/>
    </row>
    <row r="37" spans="1:4" ht="30" customHeight="1" x14ac:dyDescent="0.25">
      <c r="A37" s="1070"/>
      <c r="B37" s="1097" t="s">
        <v>643</v>
      </c>
      <c r="C37" s="1096">
        <v>50000</v>
      </c>
      <c r="D37" s="1101"/>
    </row>
    <row r="38" spans="1:4" ht="19.5" customHeight="1" x14ac:dyDescent="0.25">
      <c r="A38" s="1070"/>
      <c r="B38" s="1097" t="s">
        <v>641</v>
      </c>
      <c r="C38" s="1096">
        <v>171601.92000000001</v>
      </c>
      <c r="D38" s="1101"/>
    </row>
    <row r="39" spans="1:4" ht="19.5" customHeight="1" x14ac:dyDescent="0.25">
      <c r="A39" s="1070"/>
      <c r="B39" s="1097" t="s">
        <v>619</v>
      </c>
      <c r="C39" s="1096">
        <v>17000</v>
      </c>
      <c r="D39" s="1101"/>
    </row>
    <row r="40" spans="1:4" ht="19.5" customHeight="1" x14ac:dyDescent="0.25">
      <c r="A40" s="1070"/>
      <c r="B40" s="1097" t="s">
        <v>620</v>
      </c>
      <c r="C40" s="1096">
        <v>5000</v>
      </c>
      <c r="D40" s="1101"/>
    </row>
    <row r="41" spans="1:4" ht="19.5" customHeight="1" x14ac:dyDescent="0.25">
      <c r="A41" s="1070"/>
      <c r="B41" s="1097" t="s">
        <v>639</v>
      </c>
      <c r="C41" s="1096">
        <f>36000+22148+200000+84000</f>
        <v>342148</v>
      </c>
      <c r="D41" s="1101"/>
    </row>
    <row r="42" spans="1:4" ht="19.5" customHeight="1" x14ac:dyDescent="0.25">
      <c r="A42" s="1070"/>
      <c r="B42" s="1097" t="s">
        <v>642</v>
      </c>
      <c r="C42" s="1096">
        <v>31400</v>
      </c>
      <c r="D42" s="1101"/>
    </row>
    <row r="43" spans="1:4" ht="19.5" customHeight="1" x14ac:dyDescent="0.25">
      <c r="A43" s="1070"/>
      <c r="B43" s="1097" t="s">
        <v>641</v>
      </c>
      <c r="C43" s="1092">
        <f>294255+36270+35942</f>
        <v>366467</v>
      </c>
      <c r="D43" s="1101"/>
    </row>
    <row r="44" spans="1:4" ht="19.5" customHeight="1" x14ac:dyDescent="0.25">
      <c r="A44" s="1070"/>
      <c r="B44" s="1097" t="s">
        <v>621</v>
      </c>
      <c r="C44" s="1096">
        <v>75464</v>
      </c>
      <c r="D44" s="1101"/>
    </row>
    <row r="45" spans="1:4" ht="19.5" customHeight="1" x14ac:dyDescent="0.25">
      <c r="A45" s="1070"/>
      <c r="B45" s="1097" t="s">
        <v>622</v>
      </c>
      <c r="C45" s="1096">
        <v>17703</v>
      </c>
      <c r="D45" s="1101"/>
    </row>
    <row r="46" spans="1:4" ht="19.5" customHeight="1" x14ac:dyDescent="0.25">
      <c r="A46" s="1070"/>
      <c r="B46" s="1097" t="s">
        <v>623</v>
      </c>
      <c r="C46" s="1096">
        <v>80000</v>
      </c>
      <c r="D46" s="1101"/>
    </row>
    <row r="47" spans="1:4" ht="19.5" customHeight="1" x14ac:dyDescent="0.25">
      <c r="A47" s="1070"/>
      <c r="B47" s="1097" t="s">
        <v>624</v>
      </c>
      <c r="C47" s="1096">
        <v>8900</v>
      </c>
      <c r="D47" s="1101"/>
    </row>
    <row r="48" spans="1:4" ht="19.5" customHeight="1" x14ac:dyDescent="0.25">
      <c r="A48" s="1070"/>
      <c r="B48" s="1097" t="s">
        <v>625</v>
      </c>
      <c r="C48" s="1096">
        <v>40000</v>
      </c>
      <c r="D48" s="1101"/>
    </row>
    <row r="49" spans="1:4" ht="19.5" customHeight="1" x14ac:dyDescent="0.25">
      <c r="A49" s="1070"/>
      <c r="B49" s="1097" t="s">
        <v>626</v>
      </c>
      <c r="C49" s="1096">
        <v>70000</v>
      </c>
      <c r="D49" s="1101"/>
    </row>
    <row r="50" spans="1:4" ht="19.5" customHeight="1" x14ac:dyDescent="0.25">
      <c r="A50" s="1070"/>
      <c r="B50" s="1097" t="s">
        <v>641</v>
      </c>
      <c r="C50" s="1096">
        <v>-162197.04</v>
      </c>
      <c r="D50" s="1101"/>
    </row>
    <row r="51" spans="1:4" ht="19.5" customHeight="1" x14ac:dyDescent="0.25">
      <c r="A51" s="1070"/>
      <c r="B51" s="1097" t="s">
        <v>627</v>
      </c>
      <c r="C51" s="1096">
        <v>44678.79</v>
      </c>
      <c r="D51" s="1101"/>
    </row>
    <row r="52" spans="1:4" ht="19.5" customHeight="1" x14ac:dyDescent="0.25">
      <c r="A52" s="1070"/>
      <c r="B52" s="1097" t="s">
        <v>628</v>
      </c>
      <c r="C52" s="1096">
        <v>22500</v>
      </c>
      <c r="D52" s="1101"/>
    </row>
    <row r="53" spans="1:4" ht="18.75" customHeight="1" x14ac:dyDescent="0.25">
      <c r="A53" s="1070"/>
      <c r="B53" s="1097" t="s">
        <v>629</v>
      </c>
      <c r="C53" s="1096">
        <v>15000</v>
      </c>
      <c r="D53" s="1101"/>
    </row>
    <row r="54" spans="1:4" ht="18.75" customHeight="1" x14ac:dyDescent="0.25">
      <c r="A54" s="1070"/>
      <c r="B54" s="1097" t="s">
        <v>640</v>
      </c>
      <c r="C54" s="1096">
        <v>344000</v>
      </c>
      <c r="D54" s="1101"/>
    </row>
    <row r="55" spans="1:4" ht="18.75" customHeight="1" x14ac:dyDescent="0.25">
      <c r="A55" s="1070"/>
      <c r="B55" s="1097" t="s">
        <v>630</v>
      </c>
      <c r="C55" s="1096">
        <v>28000</v>
      </c>
      <c r="D55" s="1101"/>
    </row>
    <row r="56" spans="1:4" ht="18.75" customHeight="1" x14ac:dyDescent="0.25">
      <c r="A56" s="1070"/>
      <c r="B56" s="1097" t="s">
        <v>555</v>
      </c>
      <c r="C56" s="1096">
        <v>117639</v>
      </c>
      <c r="D56" s="1101"/>
    </row>
    <row r="57" spans="1:4" ht="18.75" customHeight="1" x14ac:dyDescent="0.25">
      <c r="A57" s="1070"/>
      <c r="B57" s="1097" t="s">
        <v>556</v>
      </c>
      <c r="C57" s="1096">
        <v>20000</v>
      </c>
      <c r="D57" s="1101"/>
    </row>
    <row r="58" spans="1:4" ht="30.75" customHeight="1" x14ac:dyDescent="0.25">
      <c r="A58" s="1070"/>
      <c r="B58" s="1105" t="s">
        <v>631</v>
      </c>
      <c r="C58" s="1096">
        <f>2941275+3971652.75+4623301.8+1402025.625+73756.25+2348754.409</f>
        <v>15360765.834000001</v>
      </c>
      <c r="D58" s="1101"/>
    </row>
    <row r="59" spans="1:4" ht="21" customHeight="1" x14ac:dyDescent="0.25">
      <c r="A59" s="1070"/>
      <c r="B59" s="1097" t="s">
        <v>632</v>
      </c>
      <c r="C59" s="1096">
        <v>10000</v>
      </c>
      <c r="D59" s="1101"/>
    </row>
    <row r="60" spans="1:4" ht="21" customHeight="1" x14ac:dyDescent="0.25">
      <c r="A60" s="1070"/>
      <c r="B60" s="1097" t="s">
        <v>638</v>
      </c>
      <c r="C60" s="1096">
        <v>390000</v>
      </c>
      <c r="D60" s="1101"/>
    </row>
    <row r="61" spans="1:4" ht="21" customHeight="1" x14ac:dyDescent="0.25">
      <c r="A61" s="1070"/>
      <c r="B61" s="1097" t="s">
        <v>633</v>
      </c>
      <c r="C61" s="1096">
        <f>837245+88400</f>
        <v>925645</v>
      </c>
      <c r="D61" s="1101"/>
    </row>
    <row r="62" spans="1:4" ht="30.75" customHeight="1" x14ac:dyDescent="0.25">
      <c r="A62" s="1070"/>
      <c r="B62" s="1097" t="s">
        <v>634</v>
      </c>
      <c r="C62" s="1096">
        <v>98280</v>
      </c>
      <c r="D62" s="1101"/>
    </row>
    <row r="63" spans="1:4" ht="20.25" customHeight="1" x14ac:dyDescent="0.25">
      <c r="A63" s="1070"/>
      <c r="B63" s="1097" t="s">
        <v>635</v>
      </c>
      <c r="C63" s="1096">
        <v>300000</v>
      </c>
      <c r="D63" s="1101"/>
    </row>
    <row r="64" spans="1:4" ht="20.25" customHeight="1" x14ac:dyDescent="0.25">
      <c r="A64" s="1070"/>
      <c r="B64" s="1097" t="s">
        <v>651</v>
      </c>
      <c r="C64" s="1096">
        <v>58000</v>
      </c>
      <c r="D64" s="1101"/>
    </row>
    <row r="65" spans="1:4" ht="31.5" customHeight="1" x14ac:dyDescent="0.25">
      <c r="A65" s="1070"/>
      <c r="B65" s="1097" t="s">
        <v>636</v>
      </c>
      <c r="C65" s="1096">
        <v>74000</v>
      </c>
      <c r="D65" s="1101"/>
    </row>
    <row r="66" spans="1:4" s="20" customFormat="1" ht="21" customHeight="1" x14ac:dyDescent="0.2">
      <c r="A66" s="1098">
        <v>3</v>
      </c>
      <c r="B66" s="1099" t="s">
        <v>132</v>
      </c>
      <c r="C66" s="1094">
        <f>C67</f>
        <v>0</v>
      </c>
      <c r="D66" s="1098"/>
    </row>
    <row r="67" spans="1:4" ht="21" customHeight="1" x14ac:dyDescent="0.25">
      <c r="A67" s="1070"/>
      <c r="B67" s="1097" t="s">
        <v>382</v>
      </c>
      <c r="C67" s="1103"/>
      <c r="D67" s="1070"/>
    </row>
    <row r="68" spans="1:4" s="20" customFormat="1" ht="21" customHeight="1" x14ac:dyDescent="0.2">
      <c r="A68" s="1098" t="s">
        <v>133</v>
      </c>
      <c r="B68" s="1099" t="s">
        <v>134</v>
      </c>
      <c r="C68" s="1094">
        <f>C69</f>
        <v>1770000</v>
      </c>
      <c r="D68" s="1100"/>
    </row>
    <row r="69" spans="1:4" ht="20.25" customHeight="1" x14ac:dyDescent="0.25">
      <c r="A69" s="1070" t="s">
        <v>273</v>
      </c>
      <c r="B69" s="1097" t="s">
        <v>637</v>
      </c>
      <c r="C69" s="1096">
        <v>1770000</v>
      </c>
      <c r="D69" s="1101"/>
    </row>
  </sheetData>
  <mergeCells count="3">
    <mergeCell ref="A2:D2"/>
    <mergeCell ref="A3:D3"/>
    <mergeCell ref="C1:D1"/>
  </mergeCells>
  <printOptions horizontalCentered="1"/>
  <pageMargins left="0.39370078740157499" right="0.21" top="0.78740157480314998" bottom="0.78740157480314998" header="0.31496062992126" footer="0.31496062992126"/>
  <pageSetup paperSize="9" scale="85" firstPageNumber="81" orientation="portrait" useFirstPageNumber="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19" zoomScaleNormal="100" zoomScalePageLayoutView="115" workbookViewId="0">
      <selection activeCell="A30" sqref="A30:XFD40"/>
    </sheetView>
  </sheetViews>
  <sheetFormatPr defaultRowHeight="15" x14ac:dyDescent="0.25"/>
  <cols>
    <col min="1" max="1" width="6.28515625" customWidth="1"/>
    <col min="2" max="2" width="46.5703125" customWidth="1"/>
    <col min="3" max="3" width="22.140625" customWidth="1"/>
    <col min="4" max="4" width="21.42578125" customWidth="1"/>
    <col min="5" max="5" width="16.42578125" customWidth="1"/>
    <col min="6" max="6" width="13.140625" bestFit="1" customWidth="1"/>
  </cols>
  <sheetData>
    <row r="1" spans="1:6" s="3" customFormat="1" ht="15.75" x14ac:dyDescent="0.25">
      <c r="A1" s="5" t="str">
        <f>'48N'!A1</f>
        <v>UBND PHƯỜNG ĐỨC XUÂN</v>
      </c>
      <c r="C1" s="1875" t="s">
        <v>965</v>
      </c>
      <c r="D1" s="1875"/>
    </row>
    <row r="2" spans="1:6" ht="9" customHeight="1" x14ac:dyDescent="0.25">
      <c r="A2" s="11"/>
    </row>
    <row r="3" spans="1:6" ht="20.100000000000001" customHeight="1" x14ac:dyDescent="0.25">
      <c r="A3" s="1844" t="s">
        <v>135</v>
      </c>
      <c r="B3" s="1844"/>
      <c r="C3" s="1844"/>
      <c r="D3" s="1844"/>
      <c r="F3" s="327"/>
    </row>
    <row r="4" spans="1:6" ht="20.100000000000001" customHeight="1" x14ac:dyDescent="0.25">
      <c r="A4" s="1844" t="s">
        <v>519</v>
      </c>
      <c r="B4" s="1844"/>
      <c r="C4" s="1844"/>
      <c r="D4" s="1844"/>
    </row>
    <row r="5" spans="1:6" ht="20.100000000000001" customHeight="1" x14ac:dyDescent="0.25">
      <c r="A5" s="1845" t="str">
        <f>'48N'!A4:F4</f>
        <v>(Kèm theo Tờ trình số    /TTr-KTHT&amp;ĐT ngày      /4/2026 của phòng KTHT&amp;ĐT phường Đức Xuân)</v>
      </c>
      <c r="B5" s="1845"/>
      <c r="C5" s="1845"/>
      <c r="D5" s="1845"/>
    </row>
    <row r="6" spans="1:6" ht="24" customHeight="1" x14ac:dyDescent="0.25">
      <c r="C6" s="1922" t="s">
        <v>433</v>
      </c>
      <c r="D6" s="1922"/>
    </row>
    <row r="7" spans="1:6" s="20" customFormat="1" ht="41.25" customHeight="1" x14ac:dyDescent="0.2">
      <c r="A7" s="29" t="s">
        <v>1</v>
      </c>
      <c r="B7" s="29" t="s">
        <v>2</v>
      </c>
      <c r="C7" s="29" t="s">
        <v>15</v>
      </c>
      <c r="D7" s="29" t="s">
        <v>332</v>
      </c>
    </row>
    <row r="8" spans="1:6" s="20" customFormat="1" ht="20.25" customHeight="1" x14ac:dyDescent="0.2">
      <c r="A8" s="29" t="s">
        <v>4</v>
      </c>
      <c r="B8" s="29" t="s">
        <v>5</v>
      </c>
      <c r="C8" s="29">
        <v>1</v>
      </c>
      <c r="D8" s="29">
        <v>2</v>
      </c>
    </row>
    <row r="9" spans="1:6" s="41" customFormat="1" ht="19.899999999999999" customHeight="1" x14ac:dyDescent="0.2">
      <c r="A9" s="78" t="s">
        <v>4</v>
      </c>
      <c r="B9" s="79" t="s">
        <v>136</v>
      </c>
      <c r="C9" s="82">
        <f>SUM(D9:D9)</f>
        <v>479800</v>
      </c>
      <c r="D9" s="82">
        <f>SUM(D10,D20)</f>
        <v>479800</v>
      </c>
    </row>
    <row r="10" spans="1:6" s="41" customFormat="1" ht="19.899999999999999" customHeight="1" x14ac:dyDescent="0.2">
      <c r="A10" s="63" t="s">
        <v>6</v>
      </c>
      <c r="B10" s="64" t="s">
        <v>37</v>
      </c>
      <c r="C10" s="65">
        <f>SUM(D10:D10)</f>
        <v>479800</v>
      </c>
      <c r="D10" s="65">
        <f>SUM(D11:D13)</f>
        <v>479800</v>
      </c>
    </row>
    <row r="11" spans="1:6" s="44" customFormat="1" ht="19.899999999999999" customHeight="1" x14ac:dyDescent="0.25">
      <c r="A11" s="42">
        <v>1</v>
      </c>
      <c r="B11" s="43" t="s">
        <v>966</v>
      </c>
      <c r="C11" s="68"/>
      <c r="D11" s="68"/>
    </row>
    <row r="12" spans="1:6" s="44" customFormat="1" ht="19.899999999999999" customHeight="1" x14ac:dyDescent="0.25">
      <c r="A12" s="42">
        <v>2</v>
      </c>
      <c r="B12" s="43" t="s">
        <v>137</v>
      </c>
      <c r="C12" s="68"/>
      <c r="D12" s="68"/>
    </row>
    <row r="13" spans="1:6" s="44" customFormat="1" ht="19.899999999999999" customHeight="1" x14ac:dyDescent="0.25">
      <c r="A13" s="42">
        <v>3</v>
      </c>
      <c r="B13" s="43" t="s">
        <v>138</v>
      </c>
      <c r="C13" s="68">
        <f>C14+C15+C16+C17+C18</f>
        <v>479800</v>
      </c>
      <c r="D13" s="68">
        <f>D14+D15+D16+D17+D18</f>
        <v>479800</v>
      </c>
    </row>
    <row r="14" spans="1:6" s="44" customFormat="1" ht="19.899999999999999" customHeight="1" x14ac:dyDescent="0.25">
      <c r="A14" s="42"/>
      <c r="B14" s="43" t="s">
        <v>139</v>
      </c>
      <c r="C14" s="68">
        <f>SUM(D14:D14)</f>
        <v>479800</v>
      </c>
      <c r="D14" s="68">
        <f>'67'!D14+'67'!D15+29800</f>
        <v>479800</v>
      </c>
    </row>
    <row r="15" spans="1:6" s="44" customFormat="1" ht="19.899999999999999" customHeight="1" x14ac:dyDescent="0.25">
      <c r="A15" s="42"/>
      <c r="B15" s="43" t="s">
        <v>140</v>
      </c>
      <c r="C15" s="68"/>
      <c r="D15" s="68"/>
    </row>
    <row r="16" spans="1:6" s="44" customFormat="1" ht="19.899999999999999" customHeight="1" x14ac:dyDescent="0.25">
      <c r="A16" s="42"/>
      <c r="B16" s="43" t="s">
        <v>141</v>
      </c>
      <c r="C16" s="68"/>
      <c r="D16" s="68"/>
    </row>
    <row r="17" spans="1:4" s="44" customFormat="1" ht="19.899999999999999" customHeight="1" x14ac:dyDescent="0.25">
      <c r="A17" s="42"/>
      <c r="B17" s="43" t="s">
        <v>142</v>
      </c>
      <c r="C17" s="68"/>
      <c r="D17" s="68"/>
    </row>
    <row r="18" spans="1:4" s="44" customFormat="1" ht="19.899999999999999" customHeight="1" x14ac:dyDescent="0.25">
      <c r="A18" s="42"/>
      <c r="B18" s="43" t="s">
        <v>143</v>
      </c>
      <c r="C18" s="68">
        <f>SUM(D18:D18)</f>
        <v>0</v>
      </c>
      <c r="D18" s="68">
        <v>0</v>
      </c>
    </row>
    <row r="19" spans="1:4" s="44" customFormat="1" ht="19.899999999999999" customHeight="1" x14ac:dyDescent="0.25">
      <c r="A19" s="42">
        <v>4</v>
      </c>
      <c r="B19" s="43" t="s">
        <v>144</v>
      </c>
      <c r="C19" s="68"/>
      <c r="D19" s="68"/>
    </row>
    <row r="20" spans="1:4" s="41" customFormat="1" ht="19.899999999999999" customHeight="1" x14ac:dyDescent="0.2">
      <c r="A20" s="63" t="s">
        <v>12</v>
      </c>
      <c r="B20" s="64" t="s">
        <v>145</v>
      </c>
      <c r="C20" s="65"/>
      <c r="D20" s="65"/>
    </row>
    <row r="21" spans="1:4" s="41" customFormat="1" ht="35.25" customHeight="1" x14ac:dyDescent="0.2">
      <c r="A21" s="63" t="s">
        <v>5</v>
      </c>
      <c r="B21" s="64" t="s">
        <v>146</v>
      </c>
      <c r="C21" s="65">
        <f>SUM(C22:C23)</f>
        <v>479800</v>
      </c>
      <c r="D21" s="65">
        <f>SUM(D22:D23)</f>
        <v>479800</v>
      </c>
    </row>
    <row r="22" spans="1:4" s="44" customFormat="1" ht="19.899999999999999" customHeight="1" x14ac:dyDescent="0.25">
      <c r="A22" s="42" t="s">
        <v>6</v>
      </c>
      <c r="B22" s="43" t="s">
        <v>147</v>
      </c>
      <c r="C22" s="68">
        <f>SUM(D22:D22)</f>
        <v>0</v>
      </c>
      <c r="D22" s="68">
        <v>0</v>
      </c>
    </row>
    <row r="23" spans="1:4" s="44" customFormat="1" ht="19.899999999999999" customHeight="1" x14ac:dyDescent="0.25">
      <c r="A23" s="42" t="s">
        <v>12</v>
      </c>
      <c r="B23" s="43" t="s">
        <v>30</v>
      </c>
      <c r="C23" s="68">
        <f>SUM(D23:D23)</f>
        <v>479800</v>
      </c>
      <c r="D23" s="68">
        <f>SUM(D25:D28)</f>
        <v>479800</v>
      </c>
    </row>
    <row r="24" spans="1:4" s="44" customFormat="1" ht="19.899999999999999" customHeight="1" x14ac:dyDescent="0.25">
      <c r="A24" s="42">
        <v>1</v>
      </c>
      <c r="B24" s="43" t="s">
        <v>400</v>
      </c>
      <c r="C24" s="68">
        <f>SUM(D24:D24)</f>
        <v>0</v>
      </c>
      <c r="D24" s="68"/>
    </row>
    <row r="25" spans="1:4" s="44" customFormat="1" ht="19.899999999999999" customHeight="1" x14ac:dyDescent="0.25">
      <c r="A25" s="42">
        <v>2</v>
      </c>
      <c r="B25" s="43" t="s">
        <v>75</v>
      </c>
      <c r="C25" s="68">
        <f>SUM(D25:D25)</f>
        <v>479800</v>
      </c>
      <c r="D25" s="68">
        <f>D14</f>
        <v>479800</v>
      </c>
    </row>
    <row r="26" spans="1:4" s="44" customFormat="1" ht="19.899999999999999" customHeight="1" x14ac:dyDescent="0.25">
      <c r="A26" s="42">
        <v>3</v>
      </c>
      <c r="B26" s="43" t="s">
        <v>148</v>
      </c>
      <c r="C26" s="68"/>
      <c r="D26" s="68"/>
    </row>
    <row r="27" spans="1:4" s="44" customFormat="1" ht="19.899999999999999" customHeight="1" x14ac:dyDescent="0.25">
      <c r="A27" s="42">
        <v>4</v>
      </c>
      <c r="B27" s="43" t="s">
        <v>149</v>
      </c>
      <c r="C27" s="68"/>
      <c r="D27" s="68"/>
    </row>
    <row r="28" spans="1:4" s="44" customFormat="1" ht="19.899999999999999" customHeight="1" x14ac:dyDescent="0.25">
      <c r="A28" s="1049">
        <v>5</v>
      </c>
      <c r="B28" s="49" t="s">
        <v>150</v>
      </c>
      <c r="C28" s="101"/>
      <c r="D28" s="101"/>
    </row>
    <row r="30" spans="1:4" hidden="1" x14ac:dyDescent="0.25">
      <c r="C30" s="1921" t="s">
        <v>967</v>
      </c>
      <c r="D30" s="1921"/>
    </row>
    <row r="31" spans="1:4" hidden="1" x14ac:dyDescent="0.25">
      <c r="B31" s="1597" t="s">
        <v>962</v>
      </c>
      <c r="C31" s="1920" t="s">
        <v>461</v>
      </c>
      <c r="D31" s="1920"/>
    </row>
    <row r="32" spans="1:4" hidden="1" x14ac:dyDescent="0.25"/>
    <row r="33" spans="2:4" hidden="1" x14ac:dyDescent="0.25"/>
    <row r="34" spans="2:4" hidden="1" x14ac:dyDescent="0.25"/>
    <row r="35" spans="2:4" hidden="1" x14ac:dyDescent="0.25"/>
    <row r="36" spans="2:4" hidden="1" x14ac:dyDescent="0.25"/>
    <row r="37" spans="2:4" hidden="1" x14ac:dyDescent="0.25">
      <c r="B37" s="1598" t="s">
        <v>695</v>
      </c>
      <c r="C37" s="1920" t="s">
        <v>460</v>
      </c>
      <c r="D37" s="1920"/>
    </row>
    <row r="38" spans="2:4" hidden="1" x14ac:dyDescent="0.25"/>
    <row r="39" spans="2:4" hidden="1" x14ac:dyDescent="0.25"/>
    <row r="40" spans="2:4" hidden="1" x14ac:dyDescent="0.25"/>
  </sheetData>
  <mergeCells count="8">
    <mergeCell ref="C1:D1"/>
    <mergeCell ref="C31:D31"/>
    <mergeCell ref="C37:D37"/>
    <mergeCell ref="C30:D30"/>
    <mergeCell ref="A3:D3"/>
    <mergeCell ref="A4:D4"/>
    <mergeCell ref="A5:D5"/>
    <mergeCell ref="C6:D6"/>
  </mergeCells>
  <printOptions horizontalCentered="1"/>
  <pageMargins left="0.23" right="0.21" top="0.70866141732283505" bottom="0.70866141732283505" header="0.31496062992126" footer="0.31496062992126"/>
  <pageSetup paperSize="9" firstPageNumber="82" orientation="portrait" useFirstPageNumber="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6"/>
  <sheetViews>
    <sheetView topLeftCell="A22" zoomScaleNormal="100" workbookViewId="0">
      <selection activeCell="A29" sqref="A29:XFD36"/>
    </sheetView>
  </sheetViews>
  <sheetFormatPr defaultRowHeight="15" x14ac:dyDescent="0.25"/>
  <cols>
    <col min="1" max="1" width="6.42578125" customWidth="1"/>
    <col min="2" max="2" width="48.28515625" customWidth="1"/>
    <col min="3" max="3" width="12.42578125" customWidth="1"/>
    <col min="4" max="4" width="13.7109375" customWidth="1"/>
    <col min="5" max="5" width="8.140625" customWidth="1"/>
    <col min="6" max="6" width="10.5703125" customWidth="1"/>
    <col min="7" max="7" width="9" customWidth="1"/>
    <col min="8" max="8" width="29.85546875" customWidth="1"/>
    <col min="9" max="18" width="9.140625" customWidth="1"/>
  </cols>
  <sheetData>
    <row r="1" spans="1:20" s="3" customFormat="1" ht="15.75" x14ac:dyDescent="0.25">
      <c r="A1" s="5" t="str">
        <f>'48N'!A1</f>
        <v>UBND PHƯỜNG ĐỨC XUÂN</v>
      </c>
      <c r="F1" s="1875" t="s">
        <v>968</v>
      </c>
      <c r="G1" s="1875"/>
    </row>
    <row r="2" spans="1:20" s="3" customFormat="1" ht="15.75" x14ac:dyDescent="0.25">
      <c r="A2" s="5"/>
      <c r="G2" s="7"/>
    </row>
    <row r="3" spans="1:20" ht="33.75" customHeight="1" x14ac:dyDescent="0.25">
      <c r="A3" s="1775" t="s">
        <v>559</v>
      </c>
      <c r="B3" s="1775"/>
      <c r="C3" s="1775"/>
      <c r="D3" s="1775"/>
      <c r="E3" s="1775"/>
      <c r="F3" s="1775"/>
      <c r="G3" s="1775"/>
      <c r="T3" s="327"/>
    </row>
    <row r="4" spans="1:20" ht="19.5" customHeight="1" x14ac:dyDescent="0.25">
      <c r="A4" s="1923" t="str">
        <f>'48N'!A4:F4</f>
        <v>(Kèm theo Tờ trình số    /TTr-KTHT&amp;ĐT ngày      /4/2026 của phòng KTHT&amp;ĐT phường Đức Xuân)</v>
      </c>
      <c r="B4" s="1923"/>
      <c r="C4" s="1923"/>
      <c r="D4" s="1923"/>
      <c r="E4" s="1923"/>
      <c r="F4" s="1923"/>
      <c r="G4" s="1923"/>
    </row>
    <row r="5" spans="1:20" ht="24.75" customHeight="1" x14ac:dyDescent="0.25">
      <c r="E5" s="1924" t="s">
        <v>427</v>
      </c>
      <c r="F5" s="1924"/>
      <c r="G5" s="1924"/>
    </row>
    <row r="6" spans="1:20" ht="19.5" customHeight="1" x14ac:dyDescent="0.25">
      <c r="A6" s="1776" t="s">
        <v>1</v>
      </c>
      <c r="B6" s="1776" t="s">
        <v>2</v>
      </c>
      <c r="C6" s="1776" t="s">
        <v>15</v>
      </c>
      <c r="D6" s="1776" t="s">
        <v>43</v>
      </c>
      <c r="E6" s="1776"/>
      <c r="F6" s="1776"/>
      <c r="G6" s="1776" t="s">
        <v>52</v>
      </c>
    </row>
    <row r="7" spans="1:20" s="20" customFormat="1" ht="45.75" customHeight="1" x14ac:dyDescent="0.2">
      <c r="A7" s="1776"/>
      <c r="B7" s="1776"/>
      <c r="C7" s="1776"/>
      <c r="D7" s="881" t="s">
        <v>151</v>
      </c>
      <c r="E7" s="881" t="s">
        <v>152</v>
      </c>
      <c r="F7" s="881" t="s">
        <v>153</v>
      </c>
      <c r="G7" s="1776"/>
    </row>
    <row r="8" spans="1:20" s="1" customFormat="1" x14ac:dyDescent="0.25">
      <c r="A8" s="886" t="s">
        <v>4</v>
      </c>
      <c r="B8" s="886" t="s">
        <v>5</v>
      </c>
      <c r="C8" s="886">
        <v>1</v>
      </c>
      <c r="D8" s="886">
        <v>2</v>
      </c>
      <c r="E8" s="886">
        <v>3</v>
      </c>
      <c r="F8" s="886">
        <v>4</v>
      </c>
      <c r="G8" s="886">
        <v>5</v>
      </c>
    </row>
    <row r="9" spans="1:20" s="20" customFormat="1" ht="19.899999999999999" customHeight="1" x14ac:dyDescent="0.2">
      <c r="A9" s="881" t="s">
        <v>4</v>
      </c>
      <c r="B9" s="190" t="s">
        <v>136</v>
      </c>
      <c r="C9" s="1037">
        <f>SUM(D9:F9)</f>
        <v>2974000</v>
      </c>
      <c r="D9" s="1037">
        <v>2974000</v>
      </c>
      <c r="E9" s="142"/>
      <c r="F9" s="142"/>
      <c r="G9" s="142"/>
    </row>
    <row r="10" spans="1:20" s="20" customFormat="1" ht="30" customHeight="1" x14ac:dyDescent="0.2">
      <c r="A10" s="881" t="s">
        <v>5</v>
      </c>
      <c r="B10" s="190" t="s">
        <v>146</v>
      </c>
      <c r="C10" s="1037">
        <f t="shared" ref="C10:C27" si="0">SUM(D10:F10)</f>
        <v>1121773</v>
      </c>
      <c r="D10" s="1037">
        <f>SUM(D11:D13)</f>
        <v>1121773</v>
      </c>
      <c r="E10" s="142"/>
      <c r="F10" s="142"/>
      <c r="G10" s="142"/>
    </row>
    <row r="11" spans="1:20" s="20" customFormat="1" ht="19.899999999999999" customHeight="1" x14ac:dyDescent="0.2">
      <c r="A11" s="881" t="s">
        <v>6</v>
      </c>
      <c r="B11" s="190" t="s">
        <v>147</v>
      </c>
      <c r="C11" s="1037"/>
      <c r="D11" s="1037"/>
      <c r="E11" s="142"/>
      <c r="F11" s="142"/>
      <c r="G11" s="142"/>
    </row>
    <row r="12" spans="1:20" s="20" customFormat="1" ht="30" customHeight="1" x14ac:dyDescent="0.2">
      <c r="A12" s="881" t="s">
        <v>12</v>
      </c>
      <c r="B12" s="190" t="s">
        <v>154</v>
      </c>
      <c r="C12" s="1037"/>
      <c r="D12" s="1037"/>
      <c r="E12" s="142"/>
      <c r="F12" s="142"/>
      <c r="G12" s="142"/>
    </row>
    <row r="13" spans="1:20" s="20" customFormat="1" ht="19.899999999999999" customHeight="1" x14ac:dyDescent="0.2">
      <c r="A13" s="881" t="s">
        <v>19</v>
      </c>
      <c r="B13" s="190" t="s">
        <v>30</v>
      </c>
      <c r="C13" s="1037">
        <f>SUM(D13:F13)</f>
        <v>1121773</v>
      </c>
      <c r="D13" s="1037">
        <f>SUM(D14:D27)</f>
        <v>1121773</v>
      </c>
      <c r="E13" s="142"/>
      <c r="F13" s="142"/>
      <c r="G13" s="142"/>
      <c r="H13" s="88"/>
    </row>
    <row r="14" spans="1:20" s="1" customFormat="1" ht="30" x14ac:dyDescent="0.25">
      <c r="A14" s="886">
        <v>1</v>
      </c>
      <c r="B14" s="1044" t="s">
        <v>562</v>
      </c>
      <c r="C14" s="1046">
        <f t="shared" si="0"/>
        <v>50000</v>
      </c>
      <c r="D14" s="1046">
        <v>50000</v>
      </c>
      <c r="E14" s="1045"/>
      <c r="F14" s="1045"/>
      <c r="G14" s="1045"/>
      <c r="H14"/>
      <c r="I14"/>
      <c r="J14"/>
      <c r="K14"/>
      <c r="L14"/>
      <c r="M14"/>
      <c r="N14"/>
      <c r="O14"/>
      <c r="P14"/>
    </row>
    <row r="15" spans="1:20" s="1" customFormat="1" ht="35.25" customHeight="1" x14ac:dyDescent="0.25">
      <c r="A15" s="886">
        <v>2</v>
      </c>
      <c r="B15" s="1038" t="s">
        <v>550</v>
      </c>
      <c r="C15" s="1046">
        <f t="shared" si="0"/>
        <v>400000</v>
      </c>
      <c r="D15" s="1048">
        <v>400000</v>
      </c>
      <c r="E15" s="1045"/>
      <c r="F15" s="1045"/>
      <c r="G15" s="1045"/>
      <c r="H15"/>
      <c r="I15"/>
      <c r="J15"/>
      <c r="K15"/>
      <c r="L15"/>
      <c r="M15"/>
      <c r="N15"/>
      <c r="O15"/>
      <c r="P15"/>
    </row>
    <row r="16" spans="1:20" s="1" customFormat="1" ht="65.25" customHeight="1" x14ac:dyDescent="0.25">
      <c r="A16" s="886">
        <v>3</v>
      </c>
      <c r="B16" s="1039" t="s">
        <v>551</v>
      </c>
      <c r="C16" s="1046">
        <f t="shared" si="0"/>
        <v>119000</v>
      </c>
      <c r="D16" s="1040">
        <v>119000</v>
      </c>
      <c r="E16" s="1045"/>
      <c r="F16" s="1045"/>
      <c r="G16" s="1045"/>
      <c r="H16"/>
      <c r="I16"/>
      <c r="J16"/>
      <c r="K16"/>
      <c r="L16"/>
      <c r="M16"/>
      <c r="N16"/>
      <c r="O16"/>
      <c r="P16"/>
    </row>
    <row r="17" spans="1:16" s="1" customFormat="1" ht="33.75" customHeight="1" x14ac:dyDescent="0.25">
      <c r="A17" s="886">
        <v>4</v>
      </c>
      <c r="B17" s="1039" t="s">
        <v>552</v>
      </c>
      <c r="C17" s="1046">
        <f t="shared" si="0"/>
        <v>23400</v>
      </c>
      <c r="D17" s="1040">
        <v>23400</v>
      </c>
      <c r="E17" s="1045"/>
      <c r="F17" s="1045"/>
      <c r="G17" s="1045"/>
      <c r="H17" s="1600"/>
      <c r="I17" s="226"/>
      <c r="J17"/>
      <c r="K17"/>
      <c r="L17"/>
      <c r="M17"/>
      <c r="N17"/>
      <c r="O17"/>
      <c r="P17"/>
    </row>
    <row r="18" spans="1:16" s="1" customFormat="1" ht="49.5" customHeight="1" x14ac:dyDescent="0.25">
      <c r="A18" s="886">
        <v>5</v>
      </c>
      <c r="B18" s="1039" t="s">
        <v>553</v>
      </c>
      <c r="C18" s="1046">
        <f>SUM(D18:F18)</f>
        <v>79800</v>
      </c>
      <c r="D18" s="1040">
        <v>79800</v>
      </c>
      <c r="E18" s="1045"/>
      <c r="F18" s="1045"/>
      <c r="G18" s="1045"/>
      <c r="H18"/>
      <c r="I18"/>
      <c r="J18"/>
      <c r="K18"/>
      <c r="L18"/>
      <c r="M18"/>
      <c r="N18"/>
      <c r="O18"/>
      <c r="P18"/>
    </row>
    <row r="19" spans="1:16" s="1" customFormat="1" ht="49.5" customHeight="1" x14ac:dyDescent="0.25">
      <c r="A19" s="886">
        <v>6</v>
      </c>
      <c r="B19" s="1039" t="s">
        <v>554</v>
      </c>
      <c r="C19" s="1046">
        <f t="shared" si="0"/>
        <v>204960</v>
      </c>
      <c r="D19" s="1040">
        <v>204960</v>
      </c>
      <c r="E19" s="1045"/>
      <c r="F19" s="1045"/>
      <c r="G19" s="1045"/>
      <c r="H19"/>
      <c r="I19"/>
      <c r="J19"/>
      <c r="K19"/>
      <c r="L19"/>
      <c r="M19"/>
      <c r="N19"/>
      <c r="O19"/>
      <c r="P19"/>
    </row>
    <row r="20" spans="1:16" ht="25.5" customHeight="1" x14ac:dyDescent="0.25">
      <c r="A20" s="1041"/>
      <c r="B20" s="1038" t="s">
        <v>555</v>
      </c>
      <c r="C20" s="1046">
        <f t="shared" si="0"/>
        <v>117639</v>
      </c>
      <c r="D20" s="1047">
        <v>117639</v>
      </c>
      <c r="E20" s="1041"/>
      <c r="F20" s="1041"/>
      <c r="G20" s="1041"/>
    </row>
    <row r="21" spans="1:16" ht="24.75" customHeight="1" x14ac:dyDescent="0.25">
      <c r="A21" s="1041"/>
      <c r="B21" s="1038" t="s">
        <v>556</v>
      </c>
      <c r="C21" s="1046">
        <f t="shared" si="0"/>
        <v>20000</v>
      </c>
      <c r="D21" s="1047">
        <v>20000</v>
      </c>
      <c r="E21" s="1041"/>
      <c r="F21" s="1041"/>
      <c r="G21" s="1041"/>
    </row>
    <row r="22" spans="1:16" ht="34.5" customHeight="1" x14ac:dyDescent="0.25">
      <c r="A22" s="1041"/>
      <c r="B22" s="1038" t="s">
        <v>557</v>
      </c>
      <c r="C22" s="1046">
        <f t="shared" si="0"/>
        <v>16848</v>
      </c>
      <c r="D22" s="1047">
        <v>16848</v>
      </c>
      <c r="E22" s="1041"/>
      <c r="F22" s="1041"/>
      <c r="G22" s="1041"/>
    </row>
    <row r="23" spans="1:16" ht="48" customHeight="1" x14ac:dyDescent="0.25">
      <c r="A23" s="1042"/>
      <c r="B23" s="1038" t="s">
        <v>558</v>
      </c>
      <c r="C23" s="1046">
        <f t="shared" si="0"/>
        <v>2808</v>
      </c>
      <c r="D23" s="1047">
        <v>2808</v>
      </c>
      <c r="E23" s="1043"/>
      <c r="F23" s="1043"/>
      <c r="G23" s="1043"/>
    </row>
    <row r="24" spans="1:16" ht="34.5" customHeight="1" x14ac:dyDescent="0.25">
      <c r="A24" s="1042"/>
      <c r="B24" s="1038" t="s">
        <v>557</v>
      </c>
      <c r="C24" s="1046">
        <f t="shared" si="0"/>
        <v>7488</v>
      </c>
      <c r="D24" s="1047">
        <v>7488</v>
      </c>
      <c r="E24" s="1043"/>
      <c r="F24" s="1043"/>
      <c r="G24" s="1043"/>
    </row>
    <row r="25" spans="1:16" ht="48" customHeight="1" x14ac:dyDescent="0.25">
      <c r="A25" s="1042"/>
      <c r="B25" s="1038" t="s">
        <v>558</v>
      </c>
      <c r="C25" s="1046">
        <f t="shared" si="0"/>
        <v>11232</v>
      </c>
      <c r="D25" s="1047">
        <v>11232</v>
      </c>
      <c r="E25" s="1043"/>
      <c r="F25" s="1043"/>
      <c r="G25" s="1043"/>
    </row>
    <row r="26" spans="1:16" ht="25.5" customHeight="1" x14ac:dyDescent="0.25">
      <c r="A26" s="1042"/>
      <c r="B26" s="1038" t="s">
        <v>560</v>
      </c>
      <c r="C26" s="1046">
        <f t="shared" ref="C26" si="1">SUM(D26:F26)</f>
        <v>32148</v>
      </c>
      <c r="D26" s="1047">
        <v>32148</v>
      </c>
      <c r="E26" s="1043"/>
      <c r="F26" s="1043"/>
      <c r="G26" s="1043"/>
    </row>
    <row r="27" spans="1:16" ht="33.75" customHeight="1" x14ac:dyDescent="0.25">
      <c r="A27" s="1042"/>
      <c r="B27" s="1038" t="s">
        <v>561</v>
      </c>
      <c r="C27" s="1046">
        <f t="shared" si="0"/>
        <v>36450</v>
      </c>
      <c r="D27" s="1047">
        <v>36450</v>
      </c>
      <c r="E27" s="1043"/>
      <c r="F27" s="1043"/>
      <c r="G27" s="1043"/>
    </row>
    <row r="29" spans="1:16" hidden="1" x14ac:dyDescent="0.25">
      <c r="C29" s="1921" t="s">
        <v>967</v>
      </c>
      <c r="D29" s="1921"/>
      <c r="E29" s="1921"/>
      <c r="F29" s="1921"/>
      <c r="G29" s="1921"/>
    </row>
    <row r="30" spans="1:16" hidden="1" x14ac:dyDescent="0.25">
      <c r="B30" s="1597" t="s">
        <v>962</v>
      </c>
      <c r="C30" s="1920" t="s">
        <v>461</v>
      </c>
      <c r="D30" s="1920"/>
      <c r="E30" s="1920"/>
      <c r="F30" s="1920"/>
      <c r="G30" s="1920"/>
    </row>
    <row r="31" spans="1:16" hidden="1" x14ac:dyDescent="0.25"/>
    <row r="32" spans="1:16" hidden="1" x14ac:dyDescent="0.25"/>
    <row r="33" spans="2:7" hidden="1" x14ac:dyDescent="0.25"/>
    <row r="34" spans="2:7" hidden="1" x14ac:dyDescent="0.25"/>
    <row r="35" spans="2:7" hidden="1" x14ac:dyDescent="0.25"/>
    <row r="36" spans="2:7" hidden="1" x14ac:dyDescent="0.25">
      <c r="B36" s="1598" t="s">
        <v>695</v>
      </c>
      <c r="C36" s="1920" t="s">
        <v>460</v>
      </c>
      <c r="D36" s="1920"/>
      <c r="E36" s="1920"/>
      <c r="F36" s="1920"/>
      <c r="G36" s="1920"/>
    </row>
  </sheetData>
  <mergeCells count="12">
    <mergeCell ref="C29:G29"/>
    <mergeCell ref="C30:G30"/>
    <mergeCell ref="C36:G36"/>
    <mergeCell ref="F1:G1"/>
    <mergeCell ref="A3:G3"/>
    <mergeCell ref="A4:G4"/>
    <mergeCell ref="A6:A7"/>
    <mergeCell ref="B6:B7"/>
    <mergeCell ref="C6:C7"/>
    <mergeCell ref="D6:F6"/>
    <mergeCell ref="G6:G7"/>
    <mergeCell ref="E5:G5"/>
  </mergeCells>
  <printOptions horizontalCentered="1"/>
  <pageMargins left="0.33" right="0.22" top="0.41" bottom="0.35" header="0.31496062992126" footer="0.31496062992126"/>
  <pageSetup paperSize="9" scale="85" firstPageNumber="83" orientation="portrait" useFirstPageNumber="1"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7"/>
  <sheetViews>
    <sheetView view="pageLayout" zoomScaleNormal="100" zoomScaleSheetLayoutView="100" workbookViewId="0">
      <selection activeCell="K25" sqref="K25"/>
    </sheetView>
  </sheetViews>
  <sheetFormatPr defaultRowHeight="15" x14ac:dyDescent="0.25"/>
  <cols>
    <col min="1" max="1" width="5.42578125" customWidth="1"/>
    <col min="2" max="2" width="35.5703125" customWidth="1"/>
    <col min="3" max="10" width="8.140625" customWidth="1"/>
    <col min="11" max="11" width="15.140625" customWidth="1"/>
  </cols>
  <sheetData>
    <row r="1" spans="1:13" s="3" customFormat="1" ht="15.75" x14ac:dyDescent="0.25">
      <c r="A1" s="20" t="str">
        <f>'48N'!A1</f>
        <v>UBND PHƯỜNG ĐỨC XUÂN</v>
      </c>
      <c r="K1" s="7"/>
    </row>
    <row r="2" spans="1:13" s="3" customFormat="1" ht="15.75" x14ac:dyDescent="0.25">
      <c r="A2" s="20"/>
      <c r="K2" s="7"/>
    </row>
    <row r="3" spans="1:13" ht="15.75" x14ac:dyDescent="0.25">
      <c r="A3" s="1844" t="s">
        <v>403</v>
      </c>
      <c r="B3" s="1844"/>
      <c r="C3" s="1844"/>
      <c r="D3" s="1844"/>
      <c r="E3" s="1844"/>
      <c r="F3" s="1844"/>
      <c r="G3" s="1844"/>
      <c r="H3" s="1844"/>
      <c r="I3" s="1844"/>
      <c r="J3" s="1844"/>
      <c r="K3" s="1844"/>
      <c r="M3" s="327"/>
    </row>
    <row r="4" spans="1:13" ht="15.75" x14ac:dyDescent="0.25">
      <c r="A4" s="1845" t="str">
        <f>'48N'!A4:F4</f>
        <v>(Kèm theo Tờ trình số    /TTr-KTHT&amp;ĐT ngày      /4/2026 của phòng KTHT&amp;ĐT phường Đức Xuân)</v>
      </c>
      <c r="B4" s="1845"/>
      <c r="C4" s="1845"/>
      <c r="D4" s="1845"/>
      <c r="E4" s="1845"/>
      <c r="F4" s="1845"/>
      <c r="G4" s="1845"/>
      <c r="H4" s="1845"/>
      <c r="I4" s="1845"/>
      <c r="J4" s="1845"/>
      <c r="K4" s="1845"/>
    </row>
    <row r="5" spans="1:13" ht="15.75" x14ac:dyDescent="0.25">
      <c r="A5" s="154"/>
      <c r="B5" s="154"/>
      <c r="C5" s="154"/>
      <c r="D5" s="154"/>
      <c r="E5" s="249"/>
      <c r="F5" s="249"/>
      <c r="G5" s="154"/>
      <c r="H5" s="154"/>
      <c r="I5" s="154"/>
      <c r="J5" s="154"/>
      <c r="K5" s="154"/>
    </row>
    <row r="6" spans="1:13" ht="15.75" x14ac:dyDescent="0.25">
      <c r="K6" s="62" t="s">
        <v>0</v>
      </c>
    </row>
    <row r="7" spans="1:13" s="20" customFormat="1" ht="31.5" customHeight="1" x14ac:dyDescent="0.2">
      <c r="A7" s="1776" t="s">
        <v>1</v>
      </c>
      <c r="B7" s="1776" t="s">
        <v>2</v>
      </c>
      <c r="C7" s="1776" t="s">
        <v>155</v>
      </c>
      <c r="D7" s="1776"/>
      <c r="E7" s="1776" t="s">
        <v>372</v>
      </c>
      <c r="F7" s="1776"/>
      <c r="G7" s="1776" t="s">
        <v>373</v>
      </c>
      <c r="H7" s="1776"/>
      <c r="I7" s="1776" t="s">
        <v>156</v>
      </c>
      <c r="J7" s="1776"/>
      <c r="K7" s="1776" t="s">
        <v>52</v>
      </c>
    </row>
    <row r="8" spans="1:13" s="20" customFormat="1" ht="36" customHeight="1" x14ac:dyDescent="0.2">
      <c r="A8" s="1776"/>
      <c r="B8" s="1776"/>
      <c r="C8" s="30" t="s">
        <v>157</v>
      </c>
      <c r="D8" s="30" t="s">
        <v>158</v>
      </c>
      <c r="E8" s="248" t="s">
        <v>157</v>
      </c>
      <c r="F8" s="248" t="s">
        <v>158</v>
      </c>
      <c r="G8" s="30" t="s">
        <v>157</v>
      </c>
      <c r="H8" s="30" t="s">
        <v>158</v>
      </c>
      <c r="I8" s="30" t="s">
        <v>157</v>
      </c>
      <c r="J8" s="30" t="s">
        <v>158</v>
      </c>
      <c r="K8" s="1776"/>
    </row>
    <row r="9" spans="1:13" s="41" customFormat="1" ht="30" customHeight="1" x14ac:dyDescent="0.2">
      <c r="A9" s="50" t="s">
        <v>6</v>
      </c>
      <c r="B9" s="140" t="s">
        <v>335</v>
      </c>
      <c r="C9" s="60"/>
      <c r="D9" s="60">
        <f>D11+D15+D22</f>
        <v>0</v>
      </c>
      <c r="E9" s="60"/>
      <c r="F9" s="60">
        <f>F11+F15+F22</f>
        <v>0</v>
      </c>
      <c r="G9" s="60"/>
      <c r="H9" s="60">
        <f>H11+H15+H22</f>
        <v>0</v>
      </c>
      <c r="I9" s="60"/>
      <c r="J9" s="60">
        <f>J11+J15+J22</f>
        <v>0</v>
      </c>
      <c r="K9" s="1925"/>
    </row>
    <row r="10" spans="1:13" s="41" customFormat="1" ht="21" customHeight="1" x14ac:dyDescent="0.2">
      <c r="A10" s="50">
        <v>1</v>
      </c>
      <c r="B10" s="140" t="s">
        <v>334</v>
      </c>
      <c r="C10" s="60"/>
      <c r="D10" s="60"/>
      <c r="E10" s="60"/>
      <c r="F10" s="60"/>
      <c r="G10" s="60"/>
      <c r="H10" s="60"/>
      <c r="I10" s="60"/>
      <c r="J10" s="60"/>
      <c r="K10" s="1926"/>
    </row>
    <row r="11" spans="1:13" s="1" customFormat="1" ht="19.899999999999999" customHeight="1" x14ac:dyDescent="0.25">
      <c r="A11" s="51"/>
      <c r="B11" s="147" t="s">
        <v>159</v>
      </c>
      <c r="C11" s="57"/>
      <c r="D11" s="57">
        <f>D12+D13+D14</f>
        <v>0</v>
      </c>
      <c r="E11" s="57"/>
      <c r="F11" s="57">
        <f>F12+F13+F14</f>
        <v>0</v>
      </c>
      <c r="G11" s="57"/>
      <c r="H11" s="57"/>
      <c r="I11" s="57"/>
      <c r="J11" s="57">
        <f>D11-H11-F11</f>
        <v>0</v>
      </c>
      <c r="K11" s="1926"/>
    </row>
    <row r="12" spans="1:13" s="1" customFormat="1" ht="19.899999999999999" customHeight="1" x14ac:dyDescent="0.25">
      <c r="A12" s="26"/>
      <c r="B12" s="152" t="s">
        <v>310</v>
      </c>
      <c r="C12" s="58"/>
      <c r="D12" s="338"/>
      <c r="E12" s="338"/>
      <c r="F12" s="338"/>
      <c r="G12" s="338"/>
      <c r="H12" s="338"/>
      <c r="I12" s="338"/>
      <c r="J12" s="338">
        <f>D12-H12-F12</f>
        <v>0</v>
      </c>
      <c r="K12" s="1926"/>
    </row>
    <row r="13" spans="1:13" s="1" customFormat="1" ht="19.899999999999999" customHeight="1" x14ac:dyDescent="0.25">
      <c r="A13" s="26"/>
      <c r="B13" s="152" t="s">
        <v>309</v>
      </c>
      <c r="C13" s="58"/>
      <c r="D13" s="338"/>
      <c r="E13" s="338"/>
      <c r="F13" s="338"/>
      <c r="G13" s="338"/>
      <c r="H13" s="338"/>
      <c r="I13" s="338"/>
      <c r="J13" s="338">
        <f>D13-H13-F13</f>
        <v>0</v>
      </c>
      <c r="K13" s="1926"/>
    </row>
    <row r="14" spans="1:13" s="1" customFormat="1" ht="19.899999999999999" customHeight="1" x14ac:dyDescent="0.25">
      <c r="A14" s="56"/>
      <c r="B14" s="324" t="s">
        <v>311</v>
      </c>
      <c r="C14" s="69"/>
      <c r="D14" s="339"/>
      <c r="E14" s="339"/>
      <c r="F14" s="339"/>
      <c r="G14" s="339"/>
      <c r="H14" s="339"/>
      <c r="I14" s="339"/>
      <c r="J14" s="339">
        <f>D14-H14-F14</f>
        <v>0</v>
      </c>
      <c r="K14" s="1927"/>
    </row>
    <row r="15" spans="1:13" s="41" customFormat="1" ht="25.9" customHeight="1" x14ac:dyDescent="0.2">
      <c r="A15" s="50">
        <v>2</v>
      </c>
      <c r="B15" s="140" t="s">
        <v>336</v>
      </c>
      <c r="C15" s="60"/>
      <c r="D15" s="60">
        <f>SUM(D16,D21,D22)</f>
        <v>0</v>
      </c>
      <c r="E15" s="60"/>
      <c r="F15" s="60">
        <f>SUM(F16,F21,F22)</f>
        <v>0</v>
      </c>
      <c r="G15" s="60"/>
      <c r="H15" s="60"/>
      <c r="I15" s="60"/>
      <c r="J15" s="60">
        <f>SUM(J16,J21,J22)</f>
        <v>0</v>
      </c>
      <c r="K15" s="1928"/>
    </row>
    <row r="16" spans="1:13" s="1" customFormat="1" ht="19.899999999999999" customHeight="1" x14ac:dyDescent="0.25">
      <c r="A16" s="51"/>
      <c r="B16" s="147" t="s">
        <v>162</v>
      </c>
      <c r="C16" s="57"/>
      <c r="D16" s="57">
        <f>SUM(D17:D20)</f>
        <v>0</v>
      </c>
      <c r="E16" s="57"/>
      <c r="F16" s="57">
        <f>SUM(F17:F20)</f>
        <v>0</v>
      </c>
      <c r="G16" s="57"/>
      <c r="H16" s="57"/>
      <c r="I16" s="57"/>
      <c r="J16" s="57">
        <f>SUM(J17:J20)</f>
        <v>0</v>
      </c>
      <c r="K16" s="1926"/>
    </row>
    <row r="17" spans="1:11" s="1" customFormat="1" ht="19.899999999999999" customHeight="1" x14ac:dyDescent="0.25">
      <c r="A17" s="26" t="s">
        <v>273</v>
      </c>
      <c r="B17" s="152" t="s">
        <v>283</v>
      </c>
      <c r="C17" s="58"/>
      <c r="D17" s="338"/>
      <c r="E17" s="338"/>
      <c r="F17" s="338"/>
      <c r="G17" s="338"/>
      <c r="H17" s="338"/>
      <c r="I17" s="338"/>
      <c r="J17" s="338">
        <f>D17-H17-F17</f>
        <v>0</v>
      </c>
      <c r="K17" s="1926"/>
    </row>
    <row r="18" spans="1:11" s="1" customFormat="1" ht="19.899999999999999" customHeight="1" x14ac:dyDescent="0.25">
      <c r="A18" s="26" t="s">
        <v>273</v>
      </c>
      <c r="B18" s="152" t="s">
        <v>17</v>
      </c>
      <c r="C18" s="58"/>
      <c r="D18" s="338"/>
      <c r="E18" s="338"/>
      <c r="F18" s="338"/>
      <c r="G18" s="338"/>
      <c r="H18" s="338"/>
      <c r="I18" s="338"/>
      <c r="J18" s="338">
        <f>D18-H18-F18</f>
        <v>0</v>
      </c>
      <c r="K18" s="1926"/>
    </row>
    <row r="19" spans="1:11" s="1" customFormat="1" ht="19.899999999999999" customHeight="1" x14ac:dyDescent="0.25">
      <c r="A19" s="26" t="s">
        <v>273</v>
      </c>
      <c r="B19" s="152" t="s">
        <v>284</v>
      </c>
      <c r="C19" s="58"/>
      <c r="D19" s="338"/>
      <c r="E19" s="338"/>
      <c r="F19" s="338"/>
      <c r="G19" s="338"/>
      <c r="H19" s="338"/>
      <c r="I19" s="338"/>
      <c r="J19" s="338">
        <f>D19-H19-F19</f>
        <v>0</v>
      </c>
      <c r="K19" s="1926"/>
    </row>
    <row r="20" spans="1:11" s="1" customFormat="1" ht="45.75" customHeight="1" x14ac:dyDescent="0.25">
      <c r="A20" s="26" t="s">
        <v>273</v>
      </c>
      <c r="B20" s="152" t="s">
        <v>285</v>
      </c>
      <c r="C20" s="58"/>
      <c r="D20" s="338"/>
      <c r="E20" s="338"/>
      <c r="F20" s="338"/>
      <c r="G20" s="338"/>
      <c r="H20" s="338"/>
      <c r="I20" s="338"/>
      <c r="J20" s="338">
        <f>D20-H20-F20</f>
        <v>0</v>
      </c>
      <c r="K20" s="1927"/>
    </row>
    <row r="21" spans="1:11" s="20" customFormat="1" ht="28.5" x14ac:dyDescent="0.2">
      <c r="A21" s="24">
        <v>3</v>
      </c>
      <c r="B21" s="340" t="s">
        <v>160</v>
      </c>
      <c r="C21" s="341"/>
      <c r="D21" s="341"/>
      <c r="E21" s="341"/>
      <c r="F21" s="341"/>
      <c r="G21" s="341"/>
      <c r="H21" s="341"/>
      <c r="I21" s="341"/>
      <c r="J21" s="338"/>
      <c r="K21" s="24"/>
    </row>
    <row r="22" spans="1:11" s="20" customFormat="1" ht="19.899999999999999" customHeight="1" x14ac:dyDescent="0.2">
      <c r="A22" s="24">
        <v>4</v>
      </c>
      <c r="B22" s="340" t="s">
        <v>163</v>
      </c>
      <c r="C22" s="341"/>
      <c r="D22" s="341">
        <f>D25</f>
        <v>0</v>
      </c>
      <c r="E22" s="341"/>
      <c r="F22" s="341"/>
      <c r="G22" s="341"/>
      <c r="H22" s="341">
        <f>H25</f>
        <v>0</v>
      </c>
      <c r="I22" s="341"/>
      <c r="J22" s="341">
        <f>J25</f>
        <v>0</v>
      </c>
      <c r="K22" s="24"/>
    </row>
    <row r="23" spans="1:11" s="1" customFormat="1" ht="19.899999999999999" customHeight="1" x14ac:dyDescent="0.25">
      <c r="A23" s="343" t="s">
        <v>32</v>
      </c>
      <c r="B23" s="344" t="s">
        <v>161</v>
      </c>
      <c r="C23" s="58"/>
      <c r="D23" s="58"/>
      <c r="E23" s="58"/>
      <c r="F23" s="58"/>
      <c r="G23" s="58"/>
      <c r="H23" s="58"/>
      <c r="I23" s="58"/>
      <c r="J23" s="338"/>
      <c r="K23" s="26"/>
    </row>
    <row r="24" spans="1:11" s="1" customFormat="1" ht="19.899999999999999" customHeight="1" x14ac:dyDescent="0.25">
      <c r="A24" s="245"/>
      <c r="B24" s="346" t="s">
        <v>370</v>
      </c>
      <c r="C24" s="246"/>
      <c r="D24" s="246"/>
      <c r="E24" s="246"/>
      <c r="F24" s="246"/>
      <c r="G24" s="246"/>
      <c r="H24" s="246"/>
      <c r="I24" s="246"/>
      <c r="J24" s="339"/>
      <c r="K24" s="245"/>
    </row>
    <row r="25" spans="1:11" s="1" customFormat="1" ht="33.75" customHeight="1" x14ac:dyDescent="0.25">
      <c r="A25" s="245"/>
      <c r="B25" s="342" t="s">
        <v>374</v>
      </c>
      <c r="C25" s="246"/>
      <c r="D25" s="415"/>
      <c r="E25" s="415"/>
      <c r="F25" s="415"/>
      <c r="G25" s="415"/>
      <c r="H25" s="415"/>
      <c r="I25" s="246"/>
      <c r="J25" s="347">
        <f>D25-H25-F25</f>
        <v>0</v>
      </c>
      <c r="K25" s="245"/>
    </row>
    <row r="26" spans="1:11" s="1" customFormat="1" ht="19.899999999999999" customHeight="1" x14ac:dyDescent="0.25">
      <c r="A26" s="345" t="s">
        <v>33</v>
      </c>
      <c r="B26" s="213" t="s">
        <v>164</v>
      </c>
      <c r="C26" s="59"/>
      <c r="D26" s="59"/>
      <c r="E26" s="59"/>
      <c r="F26" s="59"/>
      <c r="G26" s="59"/>
      <c r="H26" s="59"/>
      <c r="I26" s="59"/>
      <c r="J26" s="246"/>
      <c r="K26" s="28"/>
    </row>
    <row r="27" spans="1:11" s="41" customFormat="1" ht="30.6" customHeight="1" x14ac:dyDescent="0.2">
      <c r="A27" s="113" t="s">
        <v>12</v>
      </c>
      <c r="B27" s="153" t="s">
        <v>379</v>
      </c>
      <c r="C27" s="114"/>
      <c r="D27" s="114"/>
      <c r="E27" s="114"/>
      <c r="F27" s="114"/>
      <c r="G27" s="114"/>
      <c r="H27" s="114"/>
      <c r="I27" s="114"/>
      <c r="J27" s="114"/>
      <c r="K27" s="114"/>
    </row>
  </sheetData>
  <mergeCells count="11">
    <mergeCell ref="K9:K14"/>
    <mergeCell ref="K15:K20"/>
    <mergeCell ref="A4:K4"/>
    <mergeCell ref="A3:K3"/>
    <mergeCell ref="A7:A8"/>
    <mergeCell ref="B7:B8"/>
    <mergeCell ref="C7:D7"/>
    <mergeCell ref="G7:H7"/>
    <mergeCell ref="I7:J7"/>
    <mergeCell ref="K7:K8"/>
    <mergeCell ref="E7:F7"/>
  </mergeCells>
  <printOptions horizontalCentered="1"/>
  <pageMargins left="0.31496062992125984" right="0.39370078740157483" top="0.78740157480314965" bottom="0.78740157480314965" header="0.31496062992125984" footer="0.31496062992125984"/>
  <pageSetup paperSize="9" scale="75" firstPageNumber="84" orientation="portrait" useFirstPageNumber="1" r:id="rId1"/>
  <headerFooter>
    <oddHeader>&amp;RBiểu số 5.29</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zoomScale="90" zoomScaleNormal="90" zoomScaleSheetLayoutView="100" zoomScalePageLayoutView="85" workbookViewId="0">
      <pane xSplit="2" ySplit="8" topLeftCell="C77" activePane="bottomRight" state="frozen"/>
      <selection pane="topRight" activeCell="C1" sqref="C1"/>
      <selection pane="bottomLeft" activeCell="A9" sqref="A9"/>
      <selection pane="bottomRight" activeCell="A78" sqref="A78:XFD90"/>
    </sheetView>
  </sheetViews>
  <sheetFormatPr defaultRowHeight="15" x14ac:dyDescent="0.25"/>
  <cols>
    <col min="1" max="1" width="5.7109375" customWidth="1"/>
    <col min="2" max="2" width="55.85546875" customWidth="1"/>
    <col min="3" max="3" width="15.140625" customWidth="1"/>
    <col min="4" max="5" width="12" customWidth="1"/>
    <col min="6" max="6" width="13.140625" style="53" customWidth="1"/>
    <col min="7" max="7" width="13.28515625" customWidth="1"/>
    <col min="8" max="8" width="13.42578125" customWidth="1"/>
    <col min="9" max="9" width="14.5703125" customWidth="1"/>
    <col min="10" max="10" width="13.42578125" customWidth="1"/>
    <col min="11" max="11" width="21.140625" customWidth="1"/>
    <col min="12" max="12" width="12.42578125" hidden="1" customWidth="1"/>
    <col min="13" max="13" width="10.140625" style="20" hidden="1" customWidth="1"/>
    <col min="14" max="21" width="9.140625" style="365" hidden="1" customWidth="1"/>
    <col min="22" max="22" width="9.140625" customWidth="1"/>
    <col min="23" max="23" width="26" customWidth="1"/>
    <col min="24" max="27" width="9.140625" customWidth="1"/>
  </cols>
  <sheetData>
    <row r="1" spans="1:23" s="3" customFormat="1" ht="30" customHeight="1" x14ac:dyDescent="0.25">
      <c r="A1" s="1935" t="str">
        <f>'48N'!A1</f>
        <v>UBND PHƯỜNG ĐỨC XUÂN</v>
      </c>
      <c r="B1" s="1935"/>
      <c r="F1" s="214"/>
      <c r="K1" s="1875" t="s">
        <v>969</v>
      </c>
      <c r="L1" s="1875"/>
      <c r="M1" s="348"/>
      <c r="N1" s="364"/>
      <c r="O1" s="364"/>
      <c r="P1" s="364"/>
      <c r="Q1" s="364"/>
      <c r="R1" s="364"/>
      <c r="S1" s="364"/>
      <c r="T1" s="364"/>
      <c r="U1" s="364"/>
    </row>
    <row r="2" spans="1:23" ht="21.75" customHeight="1" x14ac:dyDescent="0.25">
      <c r="A2" s="1844" t="s">
        <v>970</v>
      </c>
      <c r="B2" s="1844"/>
      <c r="C2" s="1844"/>
      <c r="D2" s="1844"/>
      <c r="E2" s="1844"/>
      <c r="F2" s="1844"/>
      <c r="G2" s="1844"/>
      <c r="H2" s="1844"/>
      <c r="I2" s="1844"/>
      <c r="J2" s="1844"/>
      <c r="K2" s="1844"/>
    </row>
    <row r="3" spans="1:23" ht="21.75" customHeight="1" x14ac:dyDescent="0.25">
      <c r="A3" s="1796" t="str">
        <f>'48N'!A4:F4</f>
        <v>(Kèm theo Tờ trình số    /TTr-KTHT&amp;ĐT ngày      /4/2026 của phòng KTHT&amp;ĐT phường Đức Xuân)</v>
      </c>
      <c r="B3" s="1796"/>
      <c r="C3" s="1796"/>
      <c r="D3" s="1796"/>
      <c r="E3" s="1796"/>
      <c r="F3" s="1796"/>
      <c r="G3" s="1796"/>
      <c r="H3" s="1796"/>
      <c r="I3" s="1796"/>
      <c r="J3" s="1796"/>
      <c r="K3" s="1796"/>
      <c r="W3" s="327"/>
    </row>
    <row r="4" spans="1:23" ht="22.5" customHeight="1" x14ac:dyDescent="0.25">
      <c r="C4" s="53"/>
      <c r="D4" s="53"/>
      <c r="E4" s="53"/>
      <c r="G4" s="53"/>
      <c r="H4" s="53"/>
      <c r="J4" s="1851" t="s">
        <v>563</v>
      </c>
      <c r="K4" s="1851"/>
    </row>
    <row r="5" spans="1:23" s="1" customFormat="1" ht="30" customHeight="1" x14ac:dyDescent="0.25">
      <c r="A5" s="1776" t="s">
        <v>1</v>
      </c>
      <c r="B5" s="1776" t="s">
        <v>2</v>
      </c>
      <c r="C5" s="1932" t="s">
        <v>565</v>
      </c>
      <c r="D5" s="1933"/>
      <c r="E5" s="1934"/>
      <c r="F5" s="1929" t="s">
        <v>566</v>
      </c>
      <c r="G5" s="1930"/>
      <c r="H5" s="1931"/>
      <c r="I5" s="1776" t="s">
        <v>997</v>
      </c>
      <c r="J5" s="1776"/>
      <c r="K5" s="1776" t="s">
        <v>998</v>
      </c>
      <c r="M5" s="20"/>
      <c r="N5" s="285"/>
      <c r="O5" s="285"/>
      <c r="P5" s="285"/>
      <c r="Q5" s="285"/>
      <c r="R5" s="285"/>
      <c r="S5" s="285"/>
      <c r="T5" s="285"/>
      <c r="U5" s="285"/>
    </row>
    <row r="6" spans="1:23" s="1" customFormat="1" ht="48" customHeight="1" x14ac:dyDescent="0.25">
      <c r="A6" s="1776"/>
      <c r="B6" s="1776"/>
      <c r="C6" s="1610" t="s">
        <v>15</v>
      </c>
      <c r="D6" s="1548" t="s">
        <v>980</v>
      </c>
      <c r="E6" s="1548" t="s">
        <v>30</v>
      </c>
      <c r="F6" s="289" t="s">
        <v>15</v>
      </c>
      <c r="G6" s="102" t="s">
        <v>980</v>
      </c>
      <c r="H6" s="102" t="s">
        <v>30</v>
      </c>
      <c r="I6" s="287" t="s">
        <v>165</v>
      </c>
      <c r="J6" s="287" t="s">
        <v>166</v>
      </c>
      <c r="K6" s="1776"/>
      <c r="M6" s="20"/>
      <c r="N6" s="285"/>
      <c r="O6" s="285"/>
      <c r="P6" s="285"/>
      <c r="Q6" s="285"/>
      <c r="R6" s="285"/>
      <c r="S6" s="285"/>
      <c r="T6" s="285"/>
      <c r="U6" s="285"/>
    </row>
    <row r="7" spans="1:23" s="1" customFormat="1" ht="18" customHeight="1" x14ac:dyDescent="0.25">
      <c r="A7" s="21" t="s">
        <v>4</v>
      </c>
      <c r="B7" s="21" t="s">
        <v>5</v>
      </c>
      <c r="C7" s="21">
        <v>1</v>
      </c>
      <c r="D7" s="1604">
        <v>2</v>
      </c>
      <c r="E7" s="1604">
        <v>3</v>
      </c>
      <c r="F7" s="1604">
        <v>4</v>
      </c>
      <c r="G7" s="21">
        <v>5</v>
      </c>
      <c r="H7" s="21">
        <v>6</v>
      </c>
      <c r="I7" s="21" t="s">
        <v>1003</v>
      </c>
      <c r="J7" s="21" t="s">
        <v>1004</v>
      </c>
      <c r="K7" s="21">
        <v>9</v>
      </c>
      <c r="M7" s="20"/>
      <c r="N7" s="285"/>
      <c r="O7" s="285"/>
      <c r="P7" s="285"/>
      <c r="Q7" s="285"/>
      <c r="R7" s="285"/>
      <c r="S7" s="285"/>
      <c r="T7" s="285"/>
      <c r="U7" s="285"/>
    </row>
    <row r="8" spans="1:23" s="20" customFormat="1" ht="25.15" customHeight="1" x14ac:dyDescent="0.2">
      <c r="A8" s="102"/>
      <c r="B8" s="102" t="s">
        <v>270</v>
      </c>
      <c r="C8" s="142">
        <f>C9+C37+C51+C55+C58+C64+C71</f>
        <v>3850888.9619999998</v>
      </c>
      <c r="D8" s="142">
        <f t="shared" ref="D8:E8" si="0">D9+D37+D51+D55+D58+D64+D71</f>
        <v>74000</v>
      </c>
      <c r="E8" s="142">
        <f t="shared" si="0"/>
        <v>3776888.9619999998</v>
      </c>
      <c r="F8" s="142">
        <f>F9+F37+F51+F55+F58+F64+F71</f>
        <v>24187211.725000001</v>
      </c>
      <c r="G8" s="142">
        <f>G9+G37+G51+G55+G58+G64+G71</f>
        <v>32194.731</v>
      </c>
      <c r="H8" s="142">
        <f>H9+H37+H51+H55+H58+H64+H71</f>
        <v>24155016.993999999</v>
      </c>
      <c r="I8" s="1605">
        <f t="shared" ref="I8:I10" si="1">F8-C8</f>
        <v>20336322.763</v>
      </c>
      <c r="J8" s="166">
        <f>F8/C8</f>
        <v>6.2809423911402833</v>
      </c>
      <c r="K8" s="102"/>
      <c r="M8" s="88" t="e">
        <f>SUM(M37:M71)</f>
        <v>#REF!</v>
      </c>
      <c r="N8" s="366"/>
      <c r="O8" s="283"/>
      <c r="P8" s="283"/>
      <c r="Q8" s="283"/>
      <c r="R8" s="283"/>
      <c r="S8" s="283"/>
      <c r="T8" s="283"/>
      <c r="U8" s="283"/>
    </row>
    <row r="9" spans="1:23" s="20" customFormat="1" ht="47.25" customHeight="1" x14ac:dyDescent="0.2">
      <c r="A9" s="1612">
        <v>1</v>
      </c>
      <c r="B9" s="1617" t="s">
        <v>981</v>
      </c>
      <c r="C9" s="1605">
        <f>C10+C34</f>
        <v>291800</v>
      </c>
      <c r="D9" s="1605">
        <f t="shared" ref="D9:H9" si="2">D10+D34</f>
        <v>0</v>
      </c>
      <c r="E9" s="1605">
        <f t="shared" si="2"/>
        <v>291800</v>
      </c>
      <c r="F9" s="1605">
        <f t="shared" si="2"/>
        <v>11370241.785999998</v>
      </c>
      <c r="G9" s="1605">
        <f t="shared" si="2"/>
        <v>0</v>
      </c>
      <c r="H9" s="1605">
        <f t="shared" si="2"/>
        <v>11370241.785999998</v>
      </c>
      <c r="I9" s="1605">
        <f t="shared" si="1"/>
        <v>11078441.785999998</v>
      </c>
      <c r="J9" s="166">
        <f t="shared" ref="J9:J72" si="3">F9/C9</f>
        <v>38.965873152844409</v>
      </c>
      <c r="K9" s="1619"/>
      <c r="L9" s="88"/>
      <c r="M9" s="88" t="e">
        <f>F9+#REF!</f>
        <v>#REF!</v>
      </c>
      <c r="N9" s="283"/>
      <c r="O9" s="283"/>
      <c r="P9" s="283"/>
      <c r="Q9" s="283"/>
      <c r="R9" s="283"/>
      <c r="S9" s="283"/>
      <c r="T9" s="283"/>
      <c r="U9" s="283"/>
      <c r="W9" s="88"/>
    </row>
    <row r="10" spans="1:23" s="144" customFormat="1" ht="27.75" customHeight="1" x14ac:dyDescent="0.25">
      <c r="A10" s="1620" t="s">
        <v>8</v>
      </c>
      <c r="B10" s="1621" t="s">
        <v>306</v>
      </c>
      <c r="C10" s="1606">
        <f>SUM(C11:C33)</f>
        <v>291800</v>
      </c>
      <c r="D10" s="1606">
        <f t="shared" ref="D10:H10" si="4">SUM(D11:D33)</f>
        <v>0</v>
      </c>
      <c r="E10" s="1606">
        <f t="shared" si="4"/>
        <v>291800</v>
      </c>
      <c r="F10" s="1606">
        <f t="shared" si="4"/>
        <v>4422241.7859999985</v>
      </c>
      <c r="G10" s="1606">
        <f t="shared" si="4"/>
        <v>0</v>
      </c>
      <c r="H10" s="1606">
        <f t="shared" si="4"/>
        <v>4422241.7859999985</v>
      </c>
      <c r="I10" s="1606">
        <f t="shared" si="1"/>
        <v>4130441.7859999985</v>
      </c>
      <c r="J10" s="225">
        <f t="shared" si="3"/>
        <v>15.155043817683339</v>
      </c>
      <c r="K10" s="1622"/>
      <c r="L10" s="143"/>
      <c r="N10" s="368"/>
      <c r="O10" s="367"/>
      <c r="P10" s="367"/>
      <c r="Q10" s="367"/>
      <c r="R10" s="367"/>
      <c r="S10" s="367"/>
      <c r="T10" s="367"/>
      <c r="U10" s="367"/>
    </row>
    <row r="11" spans="1:23" s="325" customFormat="1" ht="31.5" customHeight="1" x14ac:dyDescent="0.25">
      <c r="A11" s="1623"/>
      <c r="B11" s="1057" t="s">
        <v>567</v>
      </c>
      <c r="C11" s="1624"/>
      <c r="D11" s="1624"/>
      <c r="E11" s="1624"/>
      <c r="F11" s="1624">
        <f t="shared" ref="F11:F32" si="5">SUM(G11:H11)</f>
        <v>344000</v>
      </c>
      <c r="G11" s="1624"/>
      <c r="H11" s="1624">
        <v>344000</v>
      </c>
      <c r="I11" s="1624">
        <f>F11-C11</f>
        <v>344000</v>
      </c>
      <c r="J11" s="166"/>
      <c r="K11" s="1623" t="s">
        <v>1005</v>
      </c>
      <c r="M11" s="144"/>
      <c r="N11" s="402"/>
      <c r="O11" s="402"/>
      <c r="P11" s="402"/>
      <c r="Q11" s="402"/>
      <c r="R11" s="402"/>
      <c r="S11" s="402"/>
      <c r="T11" s="402"/>
      <c r="U11" s="402"/>
    </row>
    <row r="12" spans="1:23" s="325" customFormat="1" ht="30.75" customHeight="1" x14ac:dyDescent="0.25">
      <c r="A12" s="1623"/>
      <c r="B12" s="1056" t="s">
        <v>569</v>
      </c>
      <c r="C12" s="1624"/>
      <c r="D12" s="1624"/>
      <c r="E12" s="1624"/>
      <c r="F12" s="1624">
        <f t="shared" si="5"/>
        <v>1770000</v>
      </c>
      <c r="G12" s="1624"/>
      <c r="H12" s="1624">
        <v>1770000</v>
      </c>
      <c r="I12" s="1624">
        <f t="shared" ref="I12:I74" si="6">F12-C12</f>
        <v>1770000</v>
      </c>
      <c r="J12" s="166"/>
      <c r="K12" s="1623" t="s">
        <v>1005</v>
      </c>
      <c r="M12" s="144"/>
      <c r="N12" s="402"/>
      <c r="O12" s="402"/>
      <c r="P12" s="402"/>
      <c r="Q12" s="402"/>
      <c r="R12" s="402"/>
      <c r="S12" s="402"/>
      <c r="T12" s="402"/>
      <c r="U12" s="402"/>
    </row>
    <row r="13" spans="1:23" s="325" customFormat="1" ht="30" customHeight="1" x14ac:dyDescent="0.25">
      <c r="A13" s="1623"/>
      <c r="B13" s="1057" t="s">
        <v>572</v>
      </c>
      <c r="C13" s="1624"/>
      <c r="D13" s="1624"/>
      <c r="E13" s="1624"/>
      <c r="F13" s="1624">
        <f t="shared" si="5"/>
        <v>6400</v>
      </c>
      <c r="G13" s="1058"/>
      <c r="H13" s="1058">
        <v>6400</v>
      </c>
      <c r="I13" s="1624">
        <f t="shared" si="6"/>
        <v>6400</v>
      </c>
      <c r="J13" s="166"/>
      <c r="K13" s="1623" t="s">
        <v>1005</v>
      </c>
      <c r="M13" s="144"/>
      <c r="N13" s="402"/>
      <c r="O13" s="402"/>
      <c r="P13" s="402"/>
      <c r="Q13" s="402"/>
      <c r="R13" s="402"/>
      <c r="S13" s="402"/>
      <c r="T13" s="402"/>
      <c r="U13" s="402"/>
    </row>
    <row r="14" spans="1:23" s="325" customFormat="1" ht="30.75" customHeight="1" x14ac:dyDescent="0.25">
      <c r="A14" s="1623"/>
      <c r="B14" s="1057" t="s">
        <v>573</v>
      </c>
      <c r="C14" s="1624"/>
      <c r="D14" s="1624"/>
      <c r="E14" s="1624"/>
      <c r="F14" s="1624">
        <f t="shared" si="5"/>
        <v>116.3</v>
      </c>
      <c r="G14" s="1058"/>
      <c r="H14" s="1058">
        <v>116.3</v>
      </c>
      <c r="I14" s="1624">
        <f t="shared" si="6"/>
        <v>116.3</v>
      </c>
      <c r="J14" s="166"/>
      <c r="K14" s="1623" t="s">
        <v>1005</v>
      </c>
      <c r="M14" s="144"/>
      <c r="N14" s="402"/>
      <c r="O14" s="402"/>
      <c r="P14" s="402"/>
      <c r="Q14" s="402"/>
      <c r="R14" s="402"/>
      <c r="S14" s="402"/>
      <c r="T14" s="402"/>
      <c r="U14" s="402"/>
    </row>
    <row r="15" spans="1:23" s="325" customFormat="1" ht="30.75" customHeight="1" x14ac:dyDescent="0.25">
      <c r="A15" s="1623"/>
      <c r="B15" s="1057" t="s">
        <v>574</v>
      </c>
      <c r="C15" s="1624"/>
      <c r="D15" s="1624"/>
      <c r="E15" s="1624"/>
      <c r="F15" s="1624">
        <f t="shared" si="5"/>
        <v>6522.0749999999998</v>
      </c>
      <c r="G15" s="1058"/>
      <c r="H15" s="1058">
        <v>6522.0749999999998</v>
      </c>
      <c r="I15" s="1624">
        <f t="shared" si="6"/>
        <v>6522.0749999999998</v>
      </c>
      <c r="J15" s="166"/>
      <c r="K15" s="1623" t="s">
        <v>1005</v>
      </c>
      <c r="M15" s="144"/>
      <c r="N15" s="402"/>
      <c r="O15" s="402"/>
      <c r="P15" s="402"/>
      <c r="Q15" s="402"/>
      <c r="R15" s="402"/>
      <c r="S15" s="402"/>
      <c r="T15" s="402"/>
      <c r="U15" s="402"/>
    </row>
    <row r="16" spans="1:23" s="325" customFormat="1" ht="35.25" customHeight="1" x14ac:dyDescent="0.25">
      <c r="A16" s="1623"/>
      <c r="B16" s="1059" t="s">
        <v>575</v>
      </c>
      <c r="C16" s="1624"/>
      <c r="D16" s="1624"/>
      <c r="E16" s="1624"/>
      <c r="F16" s="1624">
        <f t="shared" si="5"/>
        <v>11488.508</v>
      </c>
      <c r="G16" s="1058"/>
      <c r="H16" s="1058">
        <v>11488.508</v>
      </c>
      <c r="I16" s="1624">
        <f t="shared" si="6"/>
        <v>11488.508</v>
      </c>
      <c r="J16" s="166"/>
      <c r="K16" s="1623" t="s">
        <v>1005</v>
      </c>
      <c r="M16" s="144"/>
      <c r="N16" s="402"/>
      <c r="O16" s="402"/>
      <c r="P16" s="402"/>
      <c r="Q16" s="402"/>
      <c r="R16" s="402"/>
      <c r="S16" s="402"/>
      <c r="T16" s="402"/>
      <c r="U16" s="402"/>
    </row>
    <row r="17" spans="1:21" s="325" customFormat="1" ht="30" customHeight="1" x14ac:dyDescent="0.25">
      <c r="A17" s="1623"/>
      <c r="B17" s="1057" t="s">
        <v>576</v>
      </c>
      <c r="C17" s="1624"/>
      <c r="D17" s="1624"/>
      <c r="E17" s="1624"/>
      <c r="F17" s="1624">
        <f t="shared" si="5"/>
        <v>11506.093000000001</v>
      </c>
      <c r="G17" s="1058"/>
      <c r="H17" s="1058">
        <v>11506.093000000001</v>
      </c>
      <c r="I17" s="1624">
        <f t="shared" si="6"/>
        <v>11506.093000000001</v>
      </c>
      <c r="J17" s="166"/>
      <c r="K17" s="1623" t="s">
        <v>1005</v>
      </c>
      <c r="M17" s="144"/>
      <c r="N17" s="402"/>
      <c r="O17" s="402"/>
      <c r="P17" s="402"/>
      <c r="Q17" s="402"/>
      <c r="R17" s="402"/>
      <c r="S17" s="402"/>
      <c r="T17" s="402"/>
      <c r="U17" s="402"/>
    </row>
    <row r="18" spans="1:21" s="325" customFormat="1" ht="35.25" customHeight="1" x14ac:dyDescent="0.25">
      <c r="A18" s="1623"/>
      <c r="B18" s="1057" t="s">
        <v>577</v>
      </c>
      <c r="C18" s="1624"/>
      <c r="D18" s="1624"/>
      <c r="E18" s="1624"/>
      <c r="F18" s="1624">
        <f t="shared" si="5"/>
        <v>3057.8</v>
      </c>
      <c r="G18" s="1058"/>
      <c r="H18" s="1058">
        <v>3057.8</v>
      </c>
      <c r="I18" s="1624">
        <f t="shared" si="6"/>
        <v>3057.8</v>
      </c>
      <c r="J18" s="166"/>
      <c r="K18" s="1623" t="s">
        <v>1005</v>
      </c>
      <c r="M18" s="144"/>
      <c r="N18" s="402"/>
      <c r="O18" s="402"/>
      <c r="P18" s="402"/>
      <c r="Q18" s="402"/>
      <c r="R18" s="402"/>
      <c r="S18" s="402"/>
      <c r="T18" s="402"/>
      <c r="U18" s="402"/>
    </row>
    <row r="19" spans="1:21" s="325" customFormat="1" ht="30.75" customHeight="1" x14ac:dyDescent="0.25">
      <c r="A19" s="1623"/>
      <c r="B19" s="1060" t="s">
        <v>578</v>
      </c>
      <c r="C19" s="1624"/>
      <c r="D19" s="1624"/>
      <c r="E19" s="1624"/>
      <c r="F19" s="1624">
        <f t="shared" si="5"/>
        <v>27900</v>
      </c>
      <c r="G19" s="1058"/>
      <c r="H19" s="1058">
        <v>27900</v>
      </c>
      <c r="I19" s="1624">
        <f t="shared" si="6"/>
        <v>27900</v>
      </c>
      <c r="J19" s="166"/>
      <c r="K19" s="1623" t="s">
        <v>1005</v>
      </c>
      <c r="M19" s="144"/>
      <c r="N19" s="402"/>
      <c r="O19" s="402"/>
      <c r="P19" s="402"/>
      <c r="Q19" s="402"/>
      <c r="R19" s="402"/>
      <c r="S19" s="402"/>
      <c r="T19" s="402"/>
      <c r="U19" s="402"/>
    </row>
    <row r="20" spans="1:21" s="325" customFormat="1" ht="30" customHeight="1" x14ac:dyDescent="0.25">
      <c r="A20" s="1623"/>
      <c r="B20" s="1060" t="s">
        <v>578</v>
      </c>
      <c r="C20" s="1624"/>
      <c r="D20" s="1624"/>
      <c r="E20" s="1624"/>
      <c r="F20" s="1624">
        <f t="shared" si="5"/>
        <v>27900</v>
      </c>
      <c r="G20" s="1058"/>
      <c r="H20" s="1058">
        <v>27900</v>
      </c>
      <c r="I20" s="1624">
        <f t="shared" si="6"/>
        <v>27900</v>
      </c>
      <c r="J20" s="166"/>
      <c r="K20" s="1623" t="s">
        <v>1005</v>
      </c>
      <c r="M20" s="144"/>
      <c r="N20" s="402"/>
      <c r="O20" s="402"/>
      <c r="P20" s="402"/>
      <c r="Q20" s="402"/>
      <c r="R20" s="402"/>
      <c r="S20" s="402"/>
      <c r="T20" s="402"/>
      <c r="U20" s="402"/>
    </row>
    <row r="21" spans="1:21" s="325" customFormat="1" ht="29.25" customHeight="1" x14ac:dyDescent="0.25">
      <c r="A21" s="1623"/>
      <c r="B21" s="1060" t="s">
        <v>579</v>
      </c>
      <c r="C21" s="1624"/>
      <c r="D21" s="1624"/>
      <c r="E21" s="1624"/>
      <c r="F21" s="1624">
        <f t="shared" si="5"/>
        <v>465.01400000000001</v>
      </c>
      <c r="G21" s="1058"/>
      <c r="H21" s="1058">
        <v>465.01400000000001</v>
      </c>
      <c r="I21" s="1624">
        <f t="shared" si="6"/>
        <v>465.01400000000001</v>
      </c>
      <c r="J21" s="166"/>
      <c r="K21" s="1623" t="s">
        <v>1005</v>
      </c>
      <c r="M21" s="144"/>
      <c r="N21" s="402"/>
      <c r="O21" s="402"/>
      <c r="P21" s="402"/>
      <c r="Q21" s="402"/>
      <c r="R21" s="402"/>
      <c r="S21" s="402"/>
      <c r="T21" s="402"/>
      <c r="U21" s="402"/>
    </row>
    <row r="22" spans="1:21" s="325" customFormat="1" ht="29.25" customHeight="1" x14ac:dyDescent="0.25">
      <c r="A22" s="1623"/>
      <c r="B22" s="1060" t="s">
        <v>580</v>
      </c>
      <c r="C22" s="1624"/>
      <c r="D22" s="1624"/>
      <c r="E22" s="1624"/>
      <c r="F22" s="1624">
        <f t="shared" si="5"/>
        <v>1660.904</v>
      </c>
      <c r="G22" s="1058"/>
      <c r="H22" s="1058">
        <v>1660.904</v>
      </c>
      <c r="I22" s="1624">
        <f t="shared" si="6"/>
        <v>1660.904</v>
      </c>
      <c r="J22" s="166"/>
      <c r="K22" s="1623" t="s">
        <v>1005</v>
      </c>
      <c r="M22" s="144"/>
      <c r="N22" s="402"/>
      <c r="O22" s="402"/>
      <c r="P22" s="402"/>
      <c r="Q22" s="402"/>
      <c r="R22" s="402"/>
      <c r="S22" s="402"/>
      <c r="T22" s="402"/>
      <c r="U22" s="402"/>
    </row>
    <row r="23" spans="1:21" s="325" customFormat="1" ht="30.75" customHeight="1" x14ac:dyDescent="0.25">
      <c r="A23" s="1623"/>
      <c r="B23" s="1060" t="s">
        <v>581</v>
      </c>
      <c r="C23" s="1624"/>
      <c r="D23" s="1624"/>
      <c r="E23" s="1624"/>
      <c r="F23" s="1624">
        <f t="shared" si="5"/>
        <v>583220</v>
      </c>
      <c r="G23" s="1058"/>
      <c r="H23" s="1058">
        <v>583220</v>
      </c>
      <c r="I23" s="1624">
        <f t="shared" si="6"/>
        <v>583220</v>
      </c>
      <c r="J23" s="166"/>
      <c r="K23" s="1623" t="s">
        <v>1005</v>
      </c>
      <c r="M23" s="144"/>
      <c r="N23" s="402"/>
      <c r="O23" s="402"/>
      <c r="P23" s="402"/>
      <c r="Q23" s="402"/>
      <c r="R23" s="402"/>
      <c r="S23" s="402"/>
      <c r="T23" s="402"/>
      <c r="U23" s="402"/>
    </row>
    <row r="24" spans="1:21" s="325" customFormat="1" ht="27.75" customHeight="1" x14ac:dyDescent="0.25">
      <c r="A24" s="1623"/>
      <c r="B24" s="1060" t="s">
        <v>579</v>
      </c>
      <c r="C24" s="1624"/>
      <c r="D24" s="1624"/>
      <c r="E24" s="1624"/>
      <c r="F24" s="1624">
        <f t="shared" si="5"/>
        <v>30166.171999999999</v>
      </c>
      <c r="G24" s="1058"/>
      <c r="H24" s="1058">
        <v>30166.171999999999</v>
      </c>
      <c r="I24" s="1624">
        <f t="shared" si="6"/>
        <v>30166.171999999999</v>
      </c>
      <c r="J24" s="166"/>
      <c r="K24" s="1623" t="s">
        <v>1005</v>
      </c>
      <c r="M24" s="144"/>
      <c r="N24" s="402"/>
      <c r="O24" s="402"/>
      <c r="P24" s="402"/>
      <c r="Q24" s="402"/>
      <c r="R24" s="402"/>
      <c r="S24" s="402"/>
      <c r="T24" s="402"/>
      <c r="U24" s="402"/>
    </row>
    <row r="25" spans="1:21" s="325" customFormat="1" ht="27.75" customHeight="1" x14ac:dyDescent="0.25">
      <c r="A25" s="1623"/>
      <c r="B25" s="1060" t="s">
        <v>580</v>
      </c>
      <c r="C25" s="1624"/>
      <c r="D25" s="1624"/>
      <c r="E25" s="1624"/>
      <c r="F25" s="1624">
        <f t="shared" si="5"/>
        <v>2294.4</v>
      </c>
      <c r="G25" s="1058"/>
      <c r="H25" s="1058">
        <v>2294.4</v>
      </c>
      <c r="I25" s="1624">
        <f t="shared" si="6"/>
        <v>2294.4</v>
      </c>
      <c r="J25" s="166"/>
      <c r="K25" s="1623" t="s">
        <v>1005</v>
      </c>
      <c r="M25" s="144"/>
      <c r="N25" s="402"/>
      <c r="O25" s="402"/>
      <c r="P25" s="402"/>
      <c r="Q25" s="402"/>
      <c r="R25" s="402"/>
      <c r="S25" s="402"/>
      <c r="T25" s="402"/>
      <c r="U25" s="402"/>
    </row>
    <row r="26" spans="1:21" s="325" customFormat="1" ht="27.75" customHeight="1" x14ac:dyDescent="0.25">
      <c r="A26" s="1623"/>
      <c r="B26" s="1060" t="s">
        <v>581</v>
      </c>
      <c r="C26" s="1624"/>
      <c r="D26" s="1624"/>
      <c r="E26" s="1624"/>
      <c r="F26" s="1624">
        <f t="shared" si="5"/>
        <v>474296</v>
      </c>
      <c r="G26" s="1058"/>
      <c r="H26" s="1058">
        <v>474296</v>
      </c>
      <c r="I26" s="1624">
        <f t="shared" si="6"/>
        <v>474296</v>
      </c>
      <c r="J26" s="166"/>
      <c r="K26" s="1623" t="s">
        <v>1005</v>
      </c>
      <c r="M26" s="144"/>
      <c r="N26" s="402"/>
      <c r="O26" s="402"/>
      <c r="P26" s="402"/>
      <c r="Q26" s="402"/>
      <c r="R26" s="402"/>
      <c r="S26" s="402"/>
      <c r="T26" s="402"/>
      <c r="U26" s="402"/>
    </row>
    <row r="27" spans="1:21" s="325" customFormat="1" ht="27.75" customHeight="1" x14ac:dyDescent="0.25">
      <c r="A27" s="1623"/>
      <c r="B27" s="1060" t="s">
        <v>578</v>
      </c>
      <c r="C27" s="1624"/>
      <c r="D27" s="1624"/>
      <c r="E27" s="1624"/>
      <c r="F27" s="1624">
        <f t="shared" si="5"/>
        <v>240096</v>
      </c>
      <c r="G27" s="1058"/>
      <c r="H27" s="1058">
        <v>240096</v>
      </c>
      <c r="I27" s="1624">
        <f t="shared" si="6"/>
        <v>240096</v>
      </c>
      <c r="J27" s="166"/>
      <c r="K27" s="1623" t="s">
        <v>1005</v>
      </c>
      <c r="M27" s="144"/>
      <c r="N27" s="402"/>
      <c r="O27" s="402"/>
      <c r="P27" s="402"/>
      <c r="Q27" s="402"/>
      <c r="R27" s="402"/>
      <c r="S27" s="402"/>
      <c r="T27" s="402"/>
      <c r="U27" s="402"/>
    </row>
    <row r="28" spans="1:21" s="325" customFormat="1" ht="27.75" customHeight="1" x14ac:dyDescent="0.25">
      <c r="A28" s="1623"/>
      <c r="B28" s="1060" t="s">
        <v>582</v>
      </c>
      <c r="C28" s="1624"/>
      <c r="D28" s="1624"/>
      <c r="E28" s="1624"/>
      <c r="F28" s="1624">
        <f t="shared" si="5"/>
        <v>31831.567999999999</v>
      </c>
      <c r="G28" s="1058"/>
      <c r="H28" s="1058">
        <v>31831.567999999999</v>
      </c>
      <c r="I28" s="1624">
        <f t="shared" si="6"/>
        <v>31831.567999999999</v>
      </c>
      <c r="J28" s="166"/>
      <c r="K28" s="1623" t="s">
        <v>1005</v>
      </c>
      <c r="M28" s="144"/>
      <c r="N28" s="402"/>
      <c r="O28" s="402"/>
      <c r="P28" s="402"/>
      <c r="Q28" s="402"/>
      <c r="R28" s="402"/>
      <c r="S28" s="402"/>
      <c r="T28" s="402"/>
      <c r="U28" s="402"/>
    </row>
    <row r="29" spans="1:21" s="325" customFormat="1" ht="27.75" customHeight="1" x14ac:dyDescent="0.25">
      <c r="A29" s="1623"/>
      <c r="B29" s="1060" t="s">
        <v>578</v>
      </c>
      <c r="C29" s="1624"/>
      <c r="D29" s="1624"/>
      <c r="E29" s="1624"/>
      <c r="F29" s="1624">
        <f t="shared" si="5"/>
        <v>570400</v>
      </c>
      <c r="G29" s="1058"/>
      <c r="H29" s="1058">
        <v>570400</v>
      </c>
      <c r="I29" s="1624">
        <f t="shared" si="6"/>
        <v>570400</v>
      </c>
      <c r="J29" s="166"/>
      <c r="K29" s="1623" t="s">
        <v>1005</v>
      </c>
      <c r="M29" s="144"/>
      <c r="N29" s="402"/>
      <c r="O29" s="402"/>
      <c r="P29" s="402"/>
      <c r="Q29" s="402"/>
      <c r="R29" s="402"/>
      <c r="S29" s="402"/>
      <c r="T29" s="402"/>
      <c r="U29" s="402"/>
    </row>
    <row r="30" spans="1:21" s="325" customFormat="1" ht="27.75" customHeight="1" x14ac:dyDescent="0.25">
      <c r="A30" s="1623"/>
      <c r="B30" s="1061" t="s">
        <v>583</v>
      </c>
      <c r="C30" s="1624"/>
      <c r="D30" s="1624"/>
      <c r="E30" s="1624"/>
      <c r="F30" s="1624">
        <f t="shared" si="5"/>
        <v>2808</v>
      </c>
      <c r="G30" s="1058"/>
      <c r="H30" s="1058">
        <v>2808</v>
      </c>
      <c r="I30" s="1624">
        <f t="shared" si="6"/>
        <v>2808</v>
      </c>
      <c r="J30" s="166"/>
      <c r="K30" s="1623" t="s">
        <v>1005</v>
      </c>
      <c r="M30" s="144"/>
      <c r="N30" s="402"/>
      <c r="O30" s="402"/>
      <c r="P30" s="402"/>
      <c r="Q30" s="402"/>
      <c r="R30" s="402"/>
      <c r="S30" s="402"/>
      <c r="T30" s="402"/>
      <c r="U30" s="402"/>
    </row>
    <row r="31" spans="1:21" s="325" customFormat="1" ht="27.75" customHeight="1" x14ac:dyDescent="0.25">
      <c r="A31" s="1623"/>
      <c r="B31" s="1060" t="s">
        <v>578</v>
      </c>
      <c r="C31" s="1624"/>
      <c r="D31" s="1624"/>
      <c r="E31" s="1624"/>
      <c r="F31" s="1624">
        <f t="shared" si="5"/>
        <v>255392</v>
      </c>
      <c r="G31" s="1058"/>
      <c r="H31" s="1058">
        <v>255392</v>
      </c>
      <c r="I31" s="1624">
        <f t="shared" si="6"/>
        <v>255392</v>
      </c>
      <c r="J31" s="166"/>
      <c r="K31" s="1623" t="s">
        <v>1005</v>
      </c>
      <c r="M31" s="144"/>
      <c r="N31" s="402"/>
      <c r="O31" s="402"/>
      <c r="P31" s="402"/>
      <c r="Q31" s="402"/>
      <c r="R31" s="402"/>
      <c r="S31" s="402"/>
      <c r="T31" s="402"/>
      <c r="U31" s="402"/>
    </row>
    <row r="32" spans="1:21" s="325" customFormat="1" ht="27.75" customHeight="1" x14ac:dyDescent="0.25">
      <c r="A32" s="1623"/>
      <c r="B32" s="1060" t="s">
        <v>582</v>
      </c>
      <c r="C32" s="1624"/>
      <c r="D32" s="1624"/>
      <c r="E32" s="1624"/>
      <c r="F32" s="1624">
        <f t="shared" si="5"/>
        <v>20720.952000000001</v>
      </c>
      <c r="G32" s="1058"/>
      <c r="H32" s="1058">
        <v>20720.952000000001</v>
      </c>
      <c r="I32" s="1624">
        <f t="shared" si="6"/>
        <v>20720.952000000001</v>
      </c>
      <c r="J32" s="166"/>
      <c r="K32" s="1623" t="s">
        <v>1005</v>
      </c>
      <c r="M32" s="144"/>
      <c r="N32" s="402"/>
      <c r="O32" s="402"/>
      <c r="P32" s="402"/>
      <c r="Q32" s="402"/>
      <c r="R32" s="402"/>
      <c r="S32" s="402"/>
      <c r="T32" s="402"/>
      <c r="U32" s="402"/>
    </row>
    <row r="33" spans="1:21" s="325" customFormat="1" ht="72" customHeight="1" x14ac:dyDescent="0.25">
      <c r="A33" s="1623"/>
      <c r="B33" s="1653" t="s">
        <v>1002</v>
      </c>
      <c r="C33" s="1624">
        <f>D33+E33</f>
        <v>291800</v>
      </c>
      <c r="D33" s="1624"/>
      <c r="E33" s="1624">
        <v>291800</v>
      </c>
      <c r="F33" s="1624"/>
      <c r="G33" s="1058"/>
      <c r="H33" s="1058"/>
      <c r="I33" s="1624">
        <f t="shared" si="6"/>
        <v>-291800</v>
      </c>
      <c r="J33" s="1656">
        <f t="shared" si="3"/>
        <v>0</v>
      </c>
      <c r="K33" s="1625" t="s">
        <v>1007</v>
      </c>
      <c r="M33" s="144"/>
      <c r="N33" s="402"/>
      <c r="O33" s="402"/>
      <c r="P33" s="402"/>
      <c r="Q33" s="402"/>
      <c r="R33" s="402"/>
      <c r="S33" s="402"/>
      <c r="T33" s="402"/>
      <c r="U33" s="402"/>
    </row>
    <row r="34" spans="1:21" s="144" customFormat="1" ht="23.25" customHeight="1" x14ac:dyDescent="0.25">
      <c r="A34" s="1613" t="s">
        <v>38</v>
      </c>
      <c r="B34" s="1626" t="s">
        <v>318</v>
      </c>
      <c r="C34" s="1606">
        <f>SUM(C35:C36)</f>
        <v>0</v>
      </c>
      <c r="D34" s="1606">
        <f t="shared" ref="D34:H34" si="7">SUM(D35:D36)</f>
        <v>0</v>
      </c>
      <c r="E34" s="1606">
        <f t="shared" si="7"/>
        <v>0</v>
      </c>
      <c r="F34" s="1606">
        <f t="shared" si="7"/>
        <v>6948000</v>
      </c>
      <c r="G34" s="1606">
        <f t="shared" si="7"/>
        <v>0</v>
      </c>
      <c r="H34" s="1606">
        <f t="shared" si="7"/>
        <v>6948000</v>
      </c>
      <c r="I34" s="1624">
        <f t="shared" si="6"/>
        <v>6948000</v>
      </c>
      <c r="J34" s="166"/>
      <c r="K34" s="1621"/>
      <c r="N34" s="367"/>
      <c r="O34" s="367"/>
      <c r="P34" s="367"/>
      <c r="Q34" s="367"/>
      <c r="R34" s="367"/>
      <c r="S34" s="367"/>
      <c r="T34" s="367"/>
      <c r="U34" s="367"/>
    </row>
    <row r="35" spans="1:21" s="20" customFormat="1" ht="39" customHeight="1" x14ac:dyDescent="0.2">
      <c r="A35" s="1613"/>
      <c r="B35" s="1627" t="s">
        <v>570</v>
      </c>
      <c r="C35" s="1607">
        <v>0</v>
      </c>
      <c r="D35" s="1607"/>
      <c r="E35" s="1607"/>
      <c r="F35" s="1607">
        <f>G35+H35</f>
        <v>1948000</v>
      </c>
      <c r="G35" s="1607"/>
      <c r="H35" s="1607">
        <v>1948000</v>
      </c>
      <c r="I35" s="1624">
        <f t="shared" si="6"/>
        <v>1948000</v>
      </c>
      <c r="J35" s="166"/>
      <c r="K35" s="1623" t="s">
        <v>1006</v>
      </c>
      <c r="N35" s="283"/>
      <c r="O35" s="283"/>
      <c r="P35" s="283"/>
      <c r="Q35" s="283"/>
      <c r="R35" s="283"/>
      <c r="S35" s="283"/>
      <c r="T35" s="283"/>
      <c r="U35" s="283"/>
    </row>
    <row r="36" spans="1:21" s="1" customFormat="1" ht="35.25" customHeight="1" x14ac:dyDescent="0.25">
      <c r="A36" s="1628"/>
      <c r="B36" s="1627" t="s">
        <v>571</v>
      </c>
      <c r="C36" s="1607">
        <v>0</v>
      </c>
      <c r="D36" s="1607"/>
      <c r="E36" s="1607"/>
      <c r="F36" s="1607">
        <f>G36+H36</f>
        <v>5000000</v>
      </c>
      <c r="G36" s="1607"/>
      <c r="H36" s="1607">
        <v>5000000</v>
      </c>
      <c r="I36" s="1624">
        <f t="shared" si="6"/>
        <v>5000000</v>
      </c>
      <c r="J36" s="166"/>
      <c r="K36" s="1623" t="s">
        <v>1008</v>
      </c>
      <c r="M36" s="20"/>
      <c r="N36" s="285"/>
      <c r="O36" s="285"/>
      <c r="P36" s="285"/>
      <c r="Q36" s="285"/>
      <c r="R36" s="285"/>
      <c r="S36" s="285"/>
      <c r="T36" s="285"/>
      <c r="U36" s="285"/>
    </row>
    <row r="37" spans="1:21" s="20" customFormat="1" ht="51" customHeight="1" x14ac:dyDescent="0.2">
      <c r="A37" s="1612">
        <v>2</v>
      </c>
      <c r="B37" s="1617" t="s">
        <v>982</v>
      </c>
      <c r="C37" s="1605">
        <f>C38+C45</f>
        <v>0</v>
      </c>
      <c r="D37" s="1605">
        <f t="shared" ref="D37:E37" si="8">D38+D45</f>
        <v>0</v>
      </c>
      <c r="E37" s="1605">
        <f t="shared" si="8"/>
        <v>0</v>
      </c>
      <c r="F37" s="1605">
        <f>F38+F45</f>
        <v>30587.731</v>
      </c>
      <c r="G37" s="1605">
        <f>G38+G45</f>
        <v>30587.731</v>
      </c>
      <c r="H37" s="1605">
        <f>H38+H45</f>
        <v>0</v>
      </c>
      <c r="I37" s="1624">
        <f t="shared" si="6"/>
        <v>30587.731</v>
      </c>
      <c r="J37" s="166"/>
      <c r="K37" s="1614"/>
      <c r="M37" s="88">
        <f>F37</f>
        <v>30587.731</v>
      </c>
      <c r="N37" s="366"/>
      <c r="O37" s="283"/>
      <c r="P37" s="283"/>
      <c r="Q37" s="283"/>
      <c r="R37" s="283"/>
      <c r="S37" s="283"/>
      <c r="T37" s="283"/>
      <c r="U37" s="283"/>
    </row>
    <row r="38" spans="1:21" s="1" customFormat="1" ht="52.5" customHeight="1" x14ac:dyDescent="0.25">
      <c r="A38" s="1305" t="s">
        <v>40</v>
      </c>
      <c r="B38" s="1629" t="s">
        <v>983</v>
      </c>
      <c r="C38" s="1607">
        <f>C39+C41+C43</f>
        <v>0</v>
      </c>
      <c r="D38" s="1607"/>
      <c r="E38" s="1607"/>
      <c r="F38" s="1607">
        <f>SUM(G38:H38)</f>
        <v>0</v>
      </c>
      <c r="G38" s="1607"/>
      <c r="H38" s="1607">
        <f>H39+H41+H43</f>
        <v>0</v>
      </c>
      <c r="I38" s="1624">
        <f t="shared" si="6"/>
        <v>0</v>
      </c>
      <c r="J38" s="166"/>
      <c r="K38" s="1614"/>
      <c r="M38" s="20"/>
      <c r="N38" s="285"/>
      <c r="O38" s="285"/>
      <c r="P38" s="285"/>
      <c r="Q38" s="285"/>
      <c r="R38" s="285"/>
      <c r="S38" s="285"/>
      <c r="T38" s="285"/>
      <c r="U38" s="285"/>
    </row>
    <row r="39" spans="1:21" s="325" customFormat="1" ht="30" hidden="1" customHeight="1" x14ac:dyDescent="0.25">
      <c r="A39" s="1630" t="s">
        <v>32</v>
      </c>
      <c r="B39" s="1631" t="s">
        <v>385</v>
      </c>
      <c r="C39" s="1624"/>
      <c r="D39" s="1624"/>
      <c r="E39" s="1624"/>
      <c r="F39" s="1624"/>
      <c r="G39" s="1624"/>
      <c r="H39" s="1624"/>
      <c r="I39" s="1624">
        <f t="shared" si="6"/>
        <v>0</v>
      </c>
      <c r="J39" s="166"/>
      <c r="K39" s="1625"/>
      <c r="M39" s="144"/>
      <c r="N39" s="402"/>
      <c r="O39" s="402"/>
      <c r="P39" s="402"/>
      <c r="Q39" s="402"/>
      <c r="R39" s="402"/>
      <c r="S39" s="402"/>
      <c r="T39" s="402"/>
      <c r="U39" s="402"/>
    </row>
    <row r="40" spans="1:21" s="1" customFormat="1" ht="32.25" hidden="1" customHeight="1" x14ac:dyDescent="0.25">
      <c r="A40" s="1305"/>
      <c r="B40" s="1632"/>
      <c r="C40" s="1633"/>
      <c r="D40" s="1633"/>
      <c r="E40" s="1633"/>
      <c r="F40" s="1607"/>
      <c r="G40" s="1634"/>
      <c r="H40" s="1633"/>
      <c r="I40" s="1624">
        <f t="shared" si="6"/>
        <v>0</v>
      </c>
      <c r="J40" s="166"/>
      <c r="K40" s="1614"/>
      <c r="M40" s="20"/>
      <c r="N40" s="285"/>
      <c r="O40" s="285"/>
      <c r="P40" s="285"/>
      <c r="Q40" s="285"/>
      <c r="R40" s="285"/>
      <c r="S40" s="285"/>
      <c r="T40" s="285"/>
      <c r="U40" s="285"/>
    </row>
    <row r="41" spans="1:21" s="325" customFormat="1" ht="24" hidden="1" customHeight="1" x14ac:dyDescent="0.25">
      <c r="A41" s="1630" t="s">
        <v>33</v>
      </c>
      <c r="B41" s="1631" t="s">
        <v>564</v>
      </c>
      <c r="C41" s="1624"/>
      <c r="D41" s="1624"/>
      <c r="E41" s="1624"/>
      <c r="F41" s="1624"/>
      <c r="G41" s="1624"/>
      <c r="H41" s="1624"/>
      <c r="I41" s="1624">
        <f t="shared" si="6"/>
        <v>0</v>
      </c>
      <c r="J41" s="166"/>
      <c r="K41" s="1625"/>
      <c r="M41" s="144"/>
      <c r="N41" s="402"/>
      <c r="O41" s="402"/>
      <c r="P41" s="402"/>
      <c r="Q41" s="402"/>
      <c r="R41" s="402"/>
      <c r="S41" s="402"/>
      <c r="T41" s="402"/>
      <c r="U41" s="402"/>
    </row>
    <row r="42" spans="1:21" s="1" customFormat="1" ht="32.25" hidden="1" customHeight="1" x14ac:dyDescent="0.25">
      <c r="A42" s="1305"/>
      <c r="B42" s="1635"/>
      <c r="C42" s="1636"/>
      <c r="D42" s="1636"/>
      <c r="E42" s="1636"/>
      <c r="F42" s="1607"/>
      <c r="G42" s="1607"/>
      <c r="H42" s="1636"/>
      <c r="I42" s="1624">
        <f t="shared" si="6"/>
        <v>0</v>
      </c>
      <c r="J42" s="166"/>
      <c r="K42" s="1614"/>
      <c r="M42" s="20"/>
      <c r="N42" s="285"/>
      <c r="O42" s="285"/>
      <c r="P42" s="285"/>
      <c r="Q42" s="285"/>
      <c r="R42" s="285"/>
      <c r="S42" s="285"/>
      <c r="T42" s="285"/>
      <c r="U42" s="285"/>
    </row>
    <row r="43" spans="1:21" s="325" customFormat="1" ht="32.25" hidden="1" customHeight="1" x14ac:dyDescent="0.25">
      <c r="A43" s="1630" t="s">
        <v>386</v>
      </c>
      <c r="B43" s="1631" t="s">
        <v>568</v>
      </c>
      <c r="C43" s="1637"/>
      <c r="D43" s="1637"/>
      <c r="E43" s="1637"/>
      <c r="F43" s="1624"/>
      <c r="G43" s="1624"/>
      <c r="H43" s="1637"/>
      <c r="I43" s="1624">
        <f t="shared" si="6"/>
        <v>0</v>
      </c>
      <c r="J43" s="166"/>
      <c r="K43" s="1625"/>
      <c r="M43" s="144"/>
      <c r="N43" s="402"/>
      <c r="O43" s="402"/>
      <c r="P43" s="402"/>
      <c r="Q43" s="402"/>
      <c r="R43" s="402"/>
      <c r="S43" s="402"/>
      <c r="T43" s="402"/>
      <c r="U43" s="402"/>
    </row>
    <row r="44" spans="1:21" s="1" customFormat="1" ht="32.25" hidden="1" customHeight="1" x14ac:dyDescent="0.25">
      <c r="A44" s="1305"/>
      <c r="B44" s="1638"/>
      <c r="C44" s="1607"/>
      <c r="D44" s="1607"/>
      <c r="E44" s="1607"/>
      <c r="F44" s="1607"/>
      <c r="G44" s="1607"/>
      <c r="H44" s="1607"/>
      <c r="I44" s="1624">
        <f t="shared" si="6"/>
        <v>0</v>
      </c>
      <c r="J44" s="166"/>
      <c r="K44" s="1614"/>
      <c r="M44" s="20"/>
      <c r="N44" s="285"/>
      <c r="O44" s="285"/>
      <c r="P44" s="285"/>
      <c r="Q44" s="285"/>
      <c r="R44" s="285"/>
      <c r="S44" s="285"/>
      <c r="T44" s="285"/>
      <c r="U44" s="285"/>
    </row>
    <row r="45" spans="1:21" s="1" customFormat="1" ht="65.25" customHeight="1" x14ac:dyDescent="0.25">
      <c r="A45" s="1305" t="s">
        <v>41</v>
      </c>
      <c r="B45" s="1629" t="s">
        <v>984</v>
      </c>
      <c r="C45" s="1607">
        <f>C46+C48+C49</f>
        <v>0</v>
      </c>
      <c r="D45" s="1607">
        <f t="shared" ref="D45:H45" si="9">D46+D48+D49</f>
        <v>0</v>
      </c>
      <c r="E45" s="1607">
        <f t="shared" si="9"/>
        <v>0</v>
      </c>
      <c r="F45" s="1607">
        <f t="shared" si="9"/>
        <v>30587.731</v>
      </c>
      <c r="G45" s="1607">
        <f t="shared" si="9"/>
        <v>30587.731</v>
      </c>
      <c r="H45" s="1607">
        <f t="shared" si="9"/>
        <v>0</v>
      </c>
      <c r="I45" s="1624">
        <f t="shared" si="6"/>
        <v>30587.731</v>
      </c>
      <c r="J45" s="166"/>
      <c r="K45" s="1614"/>
      <c r="M45" s="20"/>
      <c r="N45" s="285"/>
      <c r="O45" s="285"/>
      <c r="P45" s="285"/>
      <c r="Q45" s="285"/>
      <c r="R45" s="285"/>
      <c r="S45" s="285"/>
      <c r="T45" s="285"/>
      <c r="U45" s="285"/>
    </row>
    <row r="46" spans="1:21" s="325" customFormat="1" ht="30" customHeight="1" x14ac:dyDescent="0.25">
      <c r="A46" s="1630" t="s">
        <v>32</v>
      </c>
      <c r="B46" s="1631" t="s">
        <v>385</v>
      </c>
      <c r="C46" s="1624"/>
      <c r="D46" s="1624"/>
      <c r="E46" s="1624"/>
      <c r="F46" s="1607">
        <f>G46+H46</f>
        <v>30587.731</v>
      </c>
      <c r="G46" s="1624">
        <f>SUM(G47:G47)</f>
        <v>30587.731</v>
      </c>
      <c r="H46" s="1624"/>
      <c r="I46" s="1624">
        <f t="shared" si="6"/>
        <v>30587.731</v>
      </c>
      <c r="J46" s="166"/>
      <c r="K46" s="1625"/>
      <c r="M46" s="144"/>
      <c r="N46" s="402"/>
      <c r="O46" s="402"/>
      <c r="P46" s="402"/>
      <c r="Q46" s="402"/>
      <c r="R46" s="402"/>
      <c r="S46" s="402"/>
      <c r="T46" s="402"/>
      <c r="U46" s="402"/>
    </row>
    <row r="47" spans="1:21" s="1" customFormat="1" ht="35.25" customHeight="1" x14ac:dyDescent="0.25">
      <c r="A47" s="1305"/>
      <c r="B47" s="1632" t="s">
        <v>437</v>
      </c>
      <c r="C47" s="1607"/>
      <c r="D47" s="1607"/>
      <c r="E47" s="1607"/>
      <c r="F47" s="1607">
        <f>G47+H47</f>
        <v>30587.731</v>
      </c>
      <c r="G47" s="1639">
        <v>30587.731</v>
      </c>
      <c r="H47" s="1607"/>
      <c r="I47" s="1624">
        <f t="shared" si="6"/>
        <v>30587.731</v>
      </c>
      <c r="J47" s="166"/>
      <c r="K47" s="1655" t="s">
        <v>1009</v>
      </c>
      <c r="M47" s="20"/>
      <c r="N47" s="285"/>
      <c r="O47" s="285"/>
      <c r="P47" s="285"/>
      <c r="Q47" s="285"/>
      <c r="R47" s="285"/>
      <c r="S47" s="285"/>
      <c r="T47" s="285"/>
      <c r="U47" s="285"/>
    </row>
    <row r="48" spans="1:21" s="325" customFormat="1" ht="32.25" hidden="1" customHeight="1" x14ac:dyDescent="0.25">
      <c r="A48" s="1630" t="s">
        <v>33</v>
      </c>
      <c r="B48" s="1631" t="s">
        <v>568</v>
      </c>
      <c r="C48" s="1624"/>
      <c r="D48" s="1624"/>
      <c r="E48" s="1624"/>
      <c r="F48" s="1624"/>
      <c r="G48" s="1624"/>
      <c r="H48" s="1624"/>
      <c r="I48" s="1624">
        <f t="shared" si="6"/>
        <v>0</v>
      </c>
      <c r="J48" s="166" t="e">
        <f t="shared" si="3"/>
        <v>#DIV/0!</v>
      </c>
      <c r="K48" s="1625"/>
      <c r="M48" s="144"/>
      <c r="N48" s="402"/>
      <c r="O48" s="402"/>
      <c r="P48" s="402"/>
      <c r="Q48" s="402"/>
      <c r="R48" s="402"/>
      <c r="S48" s="402"/>
      <c r="T48" s="402"/>
      <c r="U48" s="402"/>
    </row>
    <row r="49" spans="1:21" s="325" customFormat="1" ht="32.25" hidden="1" customHeight="1" x14ac:dyDescent="0.25">
      <c r="A49" s="1630" t="s">
        <v>386</v>
      </c>
      <c r="B49" s="1631" t="s">
        <v>441</v>
      </c>
      <c r="C49" s="1624"/>
      <c r="D49" s="1624"/>
      <c r="E49" s="1624"/>
      <c r="F49" s="1624"/>
      <c r="G49" s="1624"/>
      <c r="H49" s="1624"/>
      <c r="I49" s="1624">
        <f t="shared" si="6"/>
        <v>0</v>
      </c>
      <c r="J49" s="166" t="e">
        <f t="shared" si="3"/>
        <v>#DIV/0!</v>
      </c>
      <c r="K49" s="1625"/>
      <c r="M49" s="144"/>
      <c r="N49" s="402"/>
      <c r="O49" s="402"/>
      <c r="P49" s="402"/>
      <c r="Q49" s="402"/>
      <c r="R49" s="402"/>
      <c r="S49" s="402"/>
      <c r="T49" s="402"/>
      <c r="U49" s="402"/>
    </row>
    <row r="50" spans="1:21" s="1" customFormat="1" ht="76.5" hidden="1" customHeight="1" x14ac:dyDescent="0.25">
      <c r="A50" s="1305" t="s">
        <v>47</v>
      </c>
      <c r="B50" s="1629" t="s">
        <v>985</v>
      </c>
      <c r="C50" s="1607"/>
      <c r="D50" s="1607"/>
      <c r="E50" s="1607"/>
      <c r="F50" s="1607">
        <f t="shared" ref="F50:F59" si="10">SUM(G50:H50)</f>
        <v>0</v>
      </c>
      <c r="G50" s="1607"/>
      <c r="H50" s="1607"/>
      <c r="I50" s="1624">
        <f t="shared" si="6"/>
        <v>0</v>
      </c>
      <c r="J50" s="166" t="e">
        <f t="shared" si="3"/>
        <v>#DIV/0!</v>
      </c>
      <c r="K50" s="1614"/>
      <c r="M50" s="20"/>
      <c r="N50" s="285"/>
      <c r="O50" s="285"/>
      <c r="P50" s="285"/>
      <c r="Q50" s="285"/>
      <c r="R50" s="285"/>
      <c r="S50" s="285"/>
      <c r="T50" s="285"/>
      <c r="U50" s="285"/>
    </row>
    <row r="51" spans="1:21" s="20" customFormat="1" ht="49.5" customHeight="1" x14ac:dyDescent="0.2">
      <c r="A51" s="822">
        <v>3</v>
      </c>
      <c r="B51" s="825" t="s">
        <v>986</v>
      </c>
      <c r="C51" s="1605">
        <f>C54</f>
        <v>74000</v>
      </c>
      <c r="D51" s="1605">
        <f t="shared" ref="D51" si="11">D54</f>
        <v>74000</v>
      </c>
      <c r="E51" s="1605"/>
      <c r="F51" s="1605"/>
      <c r="G51" s="1605"/>
      <c r="H51" s="1605"/>
      <c r="I51" s="1624">
        <f t="shared" si="6"/>
        <v>-74000</v>
      </c>
      <c r="J51" s="166">
        <f t="shared" si="3"/>
        <v>0</v>
      </c>
      <c r="K51" s="1617"/>
      <c r="N51" s="283"/>
      <c r="O51" s="283"/>
      <c r="P51" s="283"/>
      <c r="Q51" s="283"/>
      <c r="R51" s="283"/>
      <c r="S51" s="283"/>
      <c r="T51" s="283"/>
      <c r="U51" s="283"/>
    </row>
    <row r="52" spans="1:21" s="1" customFormat="1" ht="24" hidden="1" customHeight="1" x14ac:dyDescent="0.25">
      <c r="A52" s="1305" t="s">
        <v>319</v>
      </c>
      <c r="B52" s="1629" t="s">
        <v>987</v>
      </c>
      <c r="C52" s="1607"/>
      <c r="D52" s="1607"/>
      <c r="E52" s="1607"/>
      <c r="F52" s="1607">
        <f t="shared" si="10"/>
        <v>0</v>
      </c>
      <c r="G52" s="1607"/>
      <c r="H52" s="1607"/>
      <c r="I52" s="1624">
        <f t="shared" si="6"/>
        <v>0</v>
      </c>
      <c r="J52" s="166" t="e">
        <f t="shared" si="3"/>
        <v>#DIV/0!</v>
      </c>
      <c r="K52" s="1614"/>
      <c r="M52" s="20"/>
      <c r="N52" s="285"/>
      <c r="O52" s="285"/>
      <c r="P52" s="285"/>
      <c r="Q52" s="285"/>
      <c r="R52" s="285"/>
      <c r="S52" s="285"/>
      <c r="T52" s="285"/>
      <c r="U52" s="285"/>
    </row>
    <row r="53" spans="1:21" s="1" customFormat="1" ht="29.25" hidden="1" customHeight="1" x14ac:dyDescent="0.25">
      <c r="A53" s="1305" t="s">
        <v>596</v>
      </c>
      <c r="B53" s="1629" t="s">
        <v>752</v>
      </c>
      <c r="C53" s="1607"/>
      <c r="D53" s="1607"/>
      <c r="E53" s="1607"/>
      <c r="F53" s="1607">
        <f t="shared" si="10"/>
        <v>0</v>
      </c>
      <c r="G53" s="1607"/>
      <c r="H53" s="1607"/>
      <c r="I53" s="1624">
        <f t="shared" si="6"/>
        <v>0</v>
      </c>
      <c r="J53" s="166" t="e">
        <f t="shared" si="3"/>
        <v>#DIV/0!</v>
      </c>
      <c r="K53" s="1614"/>
      <c r="M53" s="20"/>
      <c r="N53" s="285"/>
      <c r="O53" s="285"/>
      <c r="P53" s="285"/>
      <c r="Q53" s="285"/>
      <c r="R53" s="285"/>
      <c r="S53" s="285"/>
      <c r="T53" s="285"/>
      <c r="U53" s="285"/>
    </row>
    <row r="54" spans="1:21" s="1" customFormat="1" ht="36.75" customHeight="1" x14ac:dyDescent="0.25">
      <c r="A54" s="1305" t="s">
        <v>319</v>
      </c>
      <c r="B54" s="1629" t="s">
        <v>447</v>
      </c>
      <c r="C54" s="1607">
        <f>D54+E54</f>
        <v>74000</v>
      </c>
      <c r="D54" s="1607">
        <v>74000</v>
      </c>
      <c r="E54" s="1607"/>
      <c r="F54" s="1607">
        <f t="shared" si="10"/>
        <v>0</v>
      </c>
      <c r="G54" s="1607"/>
      <c r="H54" s="1607"/>
      <c r="I54" s="1624">
        <f t="shared" si="6"/>
        <v>-74000</v>
      </c>
      <c r="J54" s="1608">
        <f t="shared" si="3"/>
        <v>0</v>
      </c>
      <c r="K54" s="1614"/>
      <c r="M54" s="20"/>
      <c r="N54" s="285"/>
      <c r="O54" s="285"/>
      <c r="P54" s="285"/>
      <c r="Q54" s="285"/>
      <c r="R54" s="285"/>
      <c r="S54" s="285"/>
      <c r="T54" s="285"/>
      <c r="U54" s="285"/>
    </row>
    <row r="55" spans="1:21" s="20" customFormat="1" ht="78" customHeight="1" x14ac:dyDescent="0.2">
      <c r="A55" s="1612">
        <v>4</v>
      </c>
      <c r="B55" s="1617" t="s">
        <v>988</v>
      </c>
      <c r="C55" s="1605"/>
      <c r="D55" s="1605"/>
      <c r="E55" s="1605"/>
      <c r="F55" s="1605">
        <f>SUM(G55:H55)</f>
        <v>900000</v>
      </c>
      <c r="G55" s="1605">
        <f>SUM(G56:G57)</f>
        <v>0</v>
      </c>
      <c r="H55" s="1605">
        <f>SUM(H56:H57)</f>
        <v>900000</v>
      </c>
      <c r="I55" s="1624">
        <f t="shared" si="6"/>
        <v>900000</v>
      </c>
      <c r="J55" s="166"/>
      <c r="K55" s="1617"/>
      <c r="M55" s="88" t="e">
        <f>F55+#REF!</f>
        <v>#REF!</v>
      </c>
      <c r="N55" s="366"/>
      <c r="O55" s="283"/>
      <c r="P55" s="283"/>
      <c r="Q55" s="283"/>
      <c r="R55" s="283"/>
      <c r="S55" s="283"/>
      <c r="T55" s="283"/>
      <c r="U55" s="283"/>
    </row>
    <row r="56" spans="1:21" s="1" customFormat="1" ht="29.25" customHeight="1" x14ac:dyDescent="0.25">
      <c r="A56" s="1604"/>
      <c r="B56" s="1615" t="s">
        <v>999</v>
      </c>
      <c r="C56" s="1607"/>
      <c r="D56" s="1607"/>
      <c r="E56" s="1607"/>
      <c r="F56" s="1624">
        <f t="shared" ref="F56:F57" si="12">SUM(G56:H56)</f>
        <v>500000</v>
      </c>
      <c r="G56" s="1607"/>
      <c r="H56" s="1607">
        <v>500000</v>
      </c>
      <c r="I56" s="1624">
        <f t="shared" si="6"/>
        <v>500000</v>
      </c>
      <c r="J56" s="166"/>
      <c r="K56" s="1936" t="s">
        <v>1009</v>
      </c>
      <c r="M56" s="66"/>
      <c r="N56" s="1609"/>
      <c r="O56" s="285"/>
      <c r="P56" s="285"/>
      <c r="Q56" s="285"/>
      <c r="R56" s="285"/>
      <c r="S56" s="285"/>
      <c r="T56" s="285"/>
      <c r="U56" s="285"/>
    </row>
    <row r="57" spans="1:21" s="1" customFormat="1" ht="37.5" customHeight="1" x14ac:dyDescent="0.25">
      <c r="A57" s="1604"/>
      <c r="B57" s="1616" t="s">
        <v>1000</v>
      </c>
      <c r="C57" s="1607"/>
      <c r="D57" s="1607"/>
      <c r="E57" s="1607"/>
      <c r="F57" s="1624">
        <f t="shared" si="12"/>
        <v>400000</v>
      </c>
      <c r="G57" s="1607"/>
      <c r="H57" s="1607">
        <v>400000</v>
      </c>
      <c r="I57" s="1624">
        <f t="shared" si="6"/>
        <v>400000</v>
      </c>
      <c r="J57" s="166"/>
      <c r="K57" s="1937"/>
      <c r="M57" s="66"/>
      <c r="N57" s="1609"/>
      <c r="O57" s="285"/>
      <c r="P57" s="285"/>
      <c r="Q57" s="285"/>
      <c r="R57" s="285"/>
      <c r="S57" s="285"/>
      <c r="T57" s="285"/>
      <c r="U57" s="285"/>
    </row>
    <row r="58" spans="1:21" s="20" customFormat="1" ht="49.5" customHeight="1" x14ac:dyDescent="0.2">
      <c r="A58" s="1612">
        <v>5</v>
      </c>
      <c r="B58" s="1617" t="s">
        <v>989</v>
      </c>
      <c r="C58" s="1605">
        <f>C63</f>
        <v>1427001.93</v>
      </c>
      <c r="D58" s="1605">
        <f t="shared" ref="D58:E58" si="13">D63</f>
        <v>0</v>
      </c>
      <c r="E58" s="1605">
        <f t="shared" si="13"/>
        <v>1427001.93</v>
      </c>
      <c r="F58" s="1605">
        <f t="shared" si="10"/>
        <v>0</v>
      </c>
      <c r="G58" s="1605">
        <f>G59+G62</f>
        <v>0</v>
      </c>
      <c r="H58" s="1605"/>
      <c r="I58" s="1624">
        <f t="shared" si="6"/>
        <v>-1427001.93</v>
      </c>
      <c r="J58" s="166">
        <f t="shared" si="3"/>
        <v>0</v>
      </c>
      <c r="K58" s="1617"/>
      <c r="M58" s="88" t="e">
        <f>F58+#REF!</f>
        <v>#REF!</v>
      </c>
      <c r="N58" s="366"/>
      <c r="O58" s="283"/>
      <c r="P58" s="283"/>
      <c r="Q58" s="283"/>
      <c r="R58" s="283"/>
      <c r="S58" s="283"/>
      <c r="T58" s="283"/>
      <c r="U58" s="283"/>
    </row>
    <row r="59" spans="1:21" s="144" customFormat="1" ht="31.5" hidden="1" customHeight="1" x14ac:dyDescent="0.25">
      <c r="A59" s="1640" t="s">
        <v>40</v>
      </c>
      <c r="B59" s="1641" t="s">
        <v>350</v>
      </c>
      <c r="C59" s="1606"/>
      <c r="D59" s="1606"/>
      <c r="E59" s="1606"/>
      <c r="F59" s="1606">
        <f t="shared" si="10"/>
        <v>0</v>
      </c>
      <c r="G59" s="1606">
        <f>SUM(G60:G61)</f>
        <v>0</v>
      </c>
      <c r="H59" s="1606"/>
      <c r="I59" s="1624">
        <f t="shared" si="6"/>
        <v>0</v>
      </c>
      <c r="J59" s="166" t="e">
        <f t="shared" si="3"/>
        <v>#DIV/0!</v>
      </c>
      <c r="K59" s="1621"/>
      <c r="M59" s="143"/>
      <c r="N59" s="367"/>
      <c r="O59" s="367"/>
      <c r="P59" s="367"/>
      <c r="Q59" s="367"/>
      <c r="R59" s="367"/>
      <c r="S59" s="367"/>
      <c r="T59" s="367"/>
      <c r="U59" s="367"/>
    </row>
    <row r="60" spans="1:21" s="144" customFormat="1" ht="21" hidden="1" customHeight="1" x14ac:dyDescent="0.25">
      <c r="A60" s="1640"/>
      <c r="B60" s="1642"/>
      <c r="C60" s="1606"/>
      <c r="D60" s="1606"/>
      <c r="E60" s="1606"/>
      <c r="F60" s="1606"/>
      <c r="G60" s="1643"/>
      <c r="H60" s="1606"/>
      <c r="I60" s="1624">
        <f t="shared" si="6"/>
        <v>0</v>
      </c>
      <c r="J60" s="166" t="e">
        <f t="shared" si="3"/>
        <v>#DIV/0!</v>
      </c>
      <c r="K60" s="1621"/>
      <c r="M60" s="143"/>
      <c r="N60" s="367"/>
      <c r="O60" s="367"/>
      <c r="P60" s="367"/>
      <c r="Q60" s="367"/>
      <c r="R60" s="367"/>
      <c r="S60" s="367"/>
      <c r="T60" s="367"/>
      <c r="U60" s="367"/>
    </row>
    <row r="61" spans="1:21" s="144" customFormat="1" ht="21" hidden="1" customHeight="1" x14ac:dyDescent="0.25">
      <c r="A61" s="1640"/>
      <c r="B61" s="1644"/>
      <c r="C61" s="1606"/>
      <c r="D61" s="1606"/>
      <c r="E61" s="1606"/>
      <c r="F61" s="1606"/>
      <c r="G61" s="1643"/>
      <c r="H61" s="1606"/>
      <c r="I61" s="1624">
        <f t="shared" si="6"/>
        <v>0</v>
      </c>
      <c r="J61" s="166" t="e">
        <f t="shared" si="3"/>
        <v>#DIV/0!</v>
      </c>
      <c r="K61" s="1621"/>
      <c r="M61" s="143"/>
      <c r="N61" s="367"/>
      <c r="O61" s="367"/>
      <c r="P61" s="367"/>
      <c r="Q61" s="367"/>
      <c r="R61" s="367"/>
      <c r="S61" s="367"/>
      <c r="T61" s="367"/>
      <c r="U61" s="367"/>
    </row>
    <row r="62" spans="1:21" s="144" customFormat="1" ht="19.5" hidden="1" customHeight="1" x14ac:dyDescent="0.25">
      <c r="A62" s="1640" t="s">
        <v>41</v>
      </c>
      <c r="B62" s="1641" t="s">
        <v>318</v>
      </c>
      <c r="C62" s="1606">
        <f>C63</f>
        <v>1427001.93</v>
      </c>
      <c r="D62" s="1606"/>
      <c r="E62" s="1606"/>
      <c r="F62" s="1606">
        <f t="shared" ref="F62:H62" si="14">F63</f>
        <v>0</v>
      </c>
      <c r="G62" s="1606">
        <f t="shared" si="14"/>
        <v>0</v>
      </c>
      <c r="H62" s="1606">
        <f t="shared" si="14"/>
        <v>0</v>
      </c>
      <c r="I62" s="1624">
        <f t="shared" si="6"/>
        <v>-1427001.93</v>
      </c>
      <c r="J62" s="166">
        <f t="shared" si="3"/>
        <v>0</v>
      </c>
      <c r="K62" s="1621"/>
      <c r="M62" s="143"/>
      <c r="N62" s="367"/>
      <c r="O62" s="367"/>
      <c r="P62" s="367"/>
      <c r="Q62" s="367"/>
      <c r="R62" s="367"/>
      <c r="S62" s="367"/>
      <c r="T62" s="367"/>
      <c r="U62" s="367"/>
    </row>
    <row r="63" spans="1:21" s="1" customFormat="1" ht="48" customHeight="1" x14ac:dyDescent="0.25">
      <c r="A63" s="1305"/>
      <c r="B63" s="1629" t="s">
        <v>328</v>
      </c>
      <c r="C63" s="1607">
        <f>D63+E63</f>
        <v>1427001.93</v>
      </c>
      <c r="D63" s="1607"/>
      <c r="E63" s="1607">
        <v>1427001.93</v>
      </c>
      <c r="F63" s="1607">
        <f t="shared" ref="F63:F64" si="15">SUM(G63:H63)</f>
        <v>0</v>
      </c>
      <c r="G63" s="1607"/>
      <c r="H63" s="1607"/>
      <c r="I63" s="1624">
        <f t="shared" si="6"/>
        <v>-1427001.93</v>
      </c>
      <c r="J63" s="1608">
        <f t="shared" si="3"/>
        <v>0</v>
      </c>
      <c r="K63" s="1655" t="s">
        <v>1010</v>
      </c>
      <c r="M63" s="88"/>
      <c r="N63" s="285"/>
      <c r="O63" s="285"/>
      <c r="P63" s="285"/>
      <c r="Q63" s="285"/>
      <c r="R63" s="285"/>
      <c r="S63" s="285"/>
      <c r="T63" s="285"/>
      <c r="U63" s="285"/>
    </row>
    <row r="64" spans="1:21" s="20" customFormat="1" ht="42" customHeight="1" x14ac:dyDescent="0.2">
      <c r="A64" s="1612">
        <v>6</v>
      </c>
      <c r="B64" s="1617" t="s">
        <v>361</v>
      </c>
      <c r="C64" s="1605">
        <f>D64+E64</f>
        <v>835684.27300000004</v>
      </c>
      <c r="D64" s="1605"/>
      <c r="E64" s="1605">
        <v>835684.27300000004</v>
      </c>
      <c r="F64" s="1605">
        <f t="shared" si="15"/>
        <v>1607</v>
      </c>
      <c r="G64" s="1605">
        <v>1607</v>
      </c>
      <c r="H64" s="1605">
        <v>0</v>
      </c>
      <c r="I64" s="1624">
        <f t="shared" si="6"/>
        <v>-834077.27300000004</v>
      </c>
      <c r="J64" s="166">
        <f t="shared" si="3"/>
        <v>1.9229750420348044E-3</v>
      </c>
      <c r="K64" s="1655" t="s">
        <v>1010</v>
      </c>
      <c r="L64" s="88"/>
      <c r="M64" s="88" t="e">
        <f>F64+#REF!</f>
        <v>#REF!</v>
      </c>
      <c r="N64" s="283"/>
      <c r="O64" s="283"/>
      <c r="P64" s="283"/>
      <c r="Q64" s="283"/>
      <c r="R64" s="283"/>
      <c r="S64" s="283"/>
      <c r="T64" s="283"/>
      <c r="U64" s="283"/>
    </row>
    <row r="65" spans="1:23" s="1" customFormat="1" ht="36.75" hidden="1" customHeight="1" x14ac:dyDescent="0.25">
      <c r="A65" s="1604">
        <v>7</v>
      </c>
      <c r="B65" s="1614" t="s">
        <v>990</v>
      </c>
      <c r="C65" s="1607"/>
      <c r="D65" s="1607"/>
      <c r="E65" s="1607"/>
      <c r="F65" s="1607">
        <f t="shared" ref="F65:F70" si="16">SUM(G65:H65)</f>
        <v>0</v>
      </c>
      <c r="G65" s="1607"/>
      <c r="H65" s="1607"/>
      <c r="I65" s="1624">
        <f t="shared" si="6"/>
        <v>0</v>
      </c>
      <c r="J65" s="166" t="e">
        <f t="shared" si="3"/>
        <v>#DIV/0!</v>
      </c>
      <c r="K65" s="1614"/>
      <c r="M65" s="66" t="e">
        <f>F65+#REF!</f>
        <v>#REF!</v>
      </c>
      <c r="N65" s="1609"/>
      <c r="O65" s="285"/>
      <c r="P65" s="285"/>
      <c r="Q65" s="285"/>
      <c r="R65" s="285"/>
      <c r="S65" s="285"/>
      <c r="T65" s="285"/>
      <c r="U65" s="285"/>
    </row>
    <row r="66" spans="1:23" s="1" customFormat="1" ht="36.75" hidden="1" customHeight="1" x14ac:dyDescent="0.25">
      <c r="A66" s="1604">
        <v>8</v>
      </c>
      <c r="B66" s="1614" t="s">
        <v>991</v>
      </c>
      <c r="C66" s="1607"/>
      <c r="D66" s="1607"/>
      <c r="E66" s="1607"/>
      <c r="F66" s="1607">
        <f t="shared" si="16"/>
        <v>0</v>
      </c>
      <c r="G66" s="1607"/>
      <c r="H66" s="1607"/>
      <c r="I66" s="1624">
        <f t="shared" si="6"/>
        <v>0</v>
      </c>
      <c r="J66" s="166" t="e">
        <f t="shared" si="3"/>
        <v>#DIV/0!</v>
      </c>
      <c r="K66" s="1614"/>
      <c r="M66" s="66" t="e">
        <f>F66+#REF!</f>
        <v>#REF!</v>
      </c>
      <c r="N66" s="1609"/>
      <c r="O66" s="285"/>
      <c r="P66" s="285"/>
      <c r="Q66" s="285"/>
      <c r="R66" s="285"/>
      <c r="S66" s="285"/>
      <c r="T66" s="285"/>
      <c r="U66" s="285"/>
    </row>
    <row r="67" spans="1:23" s="1" customFormat="1" ht="36.75" hidden="1" customHeight="1" x14ac:dyDescent="0.25">
      <c r="A67" s="1604">
        <v>9</v>
      </c>
      <c r="B67" s="1614" t="s">
        <v>992</v>
      </c>
      <c r="C67" s="1607"/>
      <c r="D67" s="1607"/>
      <c r="E67" s="1607"/>
      <c r="F67" s="1607">
        <f t="shared" si="16"/>
        <v>0</v>
      </c>
      <c r="G67" s="1607"/>
      <c r="H67" s="1607"/>
      <c r="I67" s="1624">
        <f t="shared" si="6"/>
        <v>0</v>
      </c>
      <c r="J67" s="166" t="e">
        <f t="shared" si="3"/>
        <v>#DIV/0!</v>
      </c>
      <c r="K67" s="1614"/>
      <c r="M67" s="66" t="e">
        <f>F67+#REF!</f>
        <v>#REF!</v>
      </c>
      <c r="N67" s="1609"/>
      <c r="O67" s="285"/>
      <c r="P67" s="285"/>
      <c r="Q67" s="285"/>
      <c r="R67" s="285"/>
      <c r="S67" s="285"/>
      <c r="T67" s="285"/>
      <c r="U67" s="285"/>
    </row>
    <row r="68" spans="1:23" s="1" customFormat="1" ht="54" hidden="1" customHeight="1" x14ac:dyDescent="0.25">
      <c r="A68" s="1604">
        <v>10</v>
      </c>
      <c r="B68" s="1614" t="s">
        <v>993</v>
      </c>
      <c r="C68" s="1607"/>
      <c r="D68" s="1607"/>
      <c r="E68" s="1607"/>
      <c r="F68" s="1607">
        <f t="shared" si="16"/>
        <v>0</v>
      </c>
      <c r="G68" s="1607"/>
      <c r="H68" s="1607"/>
      <c r="I68" s="1624">
        <f t="shared" si="6"/>
        <v>0</v>
      </c>
      <c r="J68" s="166" t="e">
        <f t="shared" si="3"/>
        <v>#DIV/0!</v>
      </c>
      <c r="K68" s="1614"/>
      <c r="M68" s="66" t="e">
        <f>F68+#REF!</f>
        <v>#REF!</v>
      </c>
      <c r="N68" s="1609"/>
      <c r="O68" s="285"/>
      <c r="P68" s="285"/>
      <c r="Q68" s="285"/>
      <c r="R68" s="285"/>
      <c r="S68" s="285"/>
      <c r="T68" s="285"/>
      <c r="U68" s="285"/>
    </row>
    <row r="69" spans="1:23" s="1" customFormat="1" ht="54" hidden="1" customHeight="1" x14ac:dyDescent="0.25">
      <c r="A69" s="1604">
        <v>10</v>
      </c>
      <c r="B69" s="1614" t="s">
        <v>993</v>
      </c>
      <c r="C69" s="1607"/>
      <c r="D69" s="1607"/>
      <c r="E69" s="1607"/>
      <c r="F69" s="1607">
        <f t="shared" si="16"/>
        <v>0</v>
      </c>
      <c r="G69" s="1607"/>
      <c r="H69" s="1607"/>
      <c r="I69" s="1624">
        <f t="shared" si="6"/>
        <v>0</v>
      </c>
      <c r="J69" s="166" t="e">
        <f t="shared" si="3"/>
        <v>#DIV/0!</v>
      </c>
      <c r="K69" s="1614"/>
      <c r="M69" s="66" t="e">
        <f>F69+#REF!</f>
        <v>#REF!</v>
      </c>
      <c r="N69" s="1609"/>
      <c r="O69" s="285"/>
      <c r="P69" s="285"/>
      <c r="Q69" s="285"/>
      <c r="R69" s="285"/>
      <c r="S69" s="285"/>
      <c r="T69" s="285"/>
      <c r="U69" s="285"/>
    </row>
    <row r="70" spans="1:23" s="1" customFormat="1" ht="54" hidden="1" customHeight="1" x14ac:dyDescent="0.25">
      <c r="A70" s="1604">
        <v>11</v>
      </c>
      <c r="B70" s="1614" t="s">
        <v>994</v>
      </c>
      <c r="C70" s="1607"/>
      <c r="D70" s="1607"/>
      <c r="E70" s="1607"/>
      <c r="F70" s="1607">
        <f t="shared" si="16"/>
        <v>0</v>
      </c>
      <c r="G70" s="1607"/>
      <c r="H70" s="1607"/>
      <c r="I70" s="1624">
        <f t="shared" si="6"/>
        <v>0</v>
      </c>
      <c r="J70" s="166" t="e">
        <f t="shared" si="3"/>
        <v>#DIV/0!</v>
      </c>
      <c r="K70" s="1614"/>
      <c r="M70" s="66" t="e">
        <f>F70+#REF!</f>
        <v>#REF!</v>
      </c>
      <c r="N70" s="1609"/>
      <c r="O70" s="285"/>
      <c r="P70" s="285"/>
      <c r="Q70" s="285"/>
      <c r="R70" s="285"/>
      <c r="S70" s="285"/>
      <c r="T70" s="285"/>
      <c r="U70" s="285"/>
    </row>
    <row r="71" spans="1:23" s="20" customFormat="1" ht="83.25" customHeight="1" x14ac:dyDescent="0.2">
      <c r="A71" s="1612">
        <v>7</v>
      </c>
      <c r="B71" s="1617" t="s">
        <v>995</v>
      </c>
      <c r="C71" s="1605">
        <f>C74</f>
        <v>1222402.7590000001</v>
      </c>
      <c r="D71" s="1605">
        <f t="shared" ref="D71:E71" si="17">D74</f>
        <v>0</v>
      </c>
      <c r="E71" s="1605">
        <f t="shared" si="17"/>
        <v>1222402.7590000001</v>
      </c>
      <c r="F71" s="1605">
        <f>SUM(G71:H71)</f>
        <v>11884775.208000001</v>
      </c>
      <c r="G71" s="823">
        <f>SUM(G74:G75)</f>
        <v>0</v>
      </c>
      <c r="H71" s="823">
        <f>SUM(H74:H75)</f>
        <v>11884775.208000001</v>
      </c>
      <c r="I71" s="1624">
        <f t="shared" si="6"/>
        <v>10662372.449000001</v>
      </c>
      <c r="J71" s="166">
        <f t="shared" si="3"/>
        <v>9.7224708636312887</v>
      </c>
      <c r="K71" s="1619"/>
      <c r="L71" s="88"/>
      <c r="M71" s="88" t="e">
        <f>F71+#REF!</f>
        <v>#REF!</v>
      </c>
      <c r="N71" s="283"/>
      <c r="O71" s="283"/>
      <c r="P71" s="283"/>
      <c r="Q71" s="283"/>
      <c r="R71" s="283"/>
      <c r="S71" s="283"/>
      <c r="T71" s="283"/>
      <c r="U71" s="283"/>
      <c r="W71" s="88"/>
    </row>
    <row r="72" spans="1:23" s="20" customFormat="1" ht="33.75" hidden="1" customHeight="1" x14ac:dyDescent="0.2">
      <c r="A72" s="1612"/>
      <c r="B72" s="1645" t="s">
        <v>389</v>
      </c>
      <c r="C72" s="1646"/>
      <c r="D72" s="1646"/>
      <c r="E72" s="1646"/>
      <c r="F72" s="1647"/>
      <c r="G72" s="1648"/>
      <c r="H72" s="1649"/>
      <c r="I72" s="1624">
        <f t="shared" si="6"/>
        <v>0</v>
      </c>
      <c r="J72" s="166" t="e">
        <f t="shared" si="3"/>
        <v>#DIV/0!</v>
      </c>
      <c r="K72" s="1619"/>
      <c r="L72" s="88"/>
      <c r="M72" s="88"/>
      <c r="N72" s="283"/>
      <c r="O72" s="283"/>
      <c r="P72" s="283"/>
      <c r="Q72" s="283"/>
      <c r="R72" s="283"/>
      <c r="S72" s="283"/>
      <c r="T72" s="283"/>
      <c r="U72" s="283"/>
    </row>
    <row r="73" spans="1:23" s="20" customFormat="1" ht="26.25" hidden="1" customHeight="1" x14ac:dyDescent="0.2">
      <c r="A73" s="1612"/>
      <c r="B73" s="1645" t="s">
        <v>390</v>
      </c>
      <c r="C73" s="1646"/>
      <c r="D73" s="1646"/>
      <c r="E73" s="1646"/>
      <c r="F73" s="1647"/>
      <c r="G73" s="1648"/>
      <c r="H73" s="1649"/>
      <c r="I73" s="1624">
        <f t="shared" si="6"/>
        <v>0</v>
      </c>
      <c r="J73" s="166" t="e">
        <f t="shared" ref="J73:J74" si="18">F73/C73</f>
        <v>#DIV/0!</v>
      </c>
      <c r="K73" s="1619"/>
      <c r="L73" s="88"/>
      <c r="M73" s="88"/>
      <c r="N73" s="283"/>
      <c r="O73" s="283"/>
      <c r="P73" s="283"/>
      <c r="Q73" s="283"/>
      <c r="R73" s="283"/>
      <c r="S73" s="283"/>
      <c r="T73" s="283"/>
      <c r="U73" s="283"/>
    </row>
    <row r="74" spans="1:23" s="20" customFormat="1" ht="45" customHeight="1" x14ac:dyDescent="0.2">
      <c r="A74" s="1612"/>
      <c r="B74" s="1650" t="s">
        <v>1001</v>
      </c>
      <c r="C74" s="1654">
        <f>D74+E74</f>
        <v>1222402.7590000001</v>
      </c>
      <c r="D74" s="1387"/>
      <c r="E74" s="1654">
        <v>1222402.7590000001</v>
      </c>
      <c r="F74" s="1651"/>
      <c r="G74" s="1652"/>
      <c r="H74" s="1607">
        <v>11884775.208000001</v>
      </c>
      <c r="I74" s="1624">
        <f t="shared" si="6"/>
        <v>-1222402.7590000001</v>
      </c>
      <c r="J74" s="1608">
        <f t="shared" si="18"/>
        <v>0</v>
      </c>
      <c r="K74" s="1512" t="s">
        <v>1011</v>
      </c>
      <c r="L74" s="88"/>
      <c r="M74" s="88"/>
      <c r="N74" s="283"/>
      <c r="O74" s="283"/>
      <c r="P74" s="283"/>
      <c r="Q74" s="283"/>
      <c r="R74" s="283"/>
      <c r="S74" s="283"/>
      <c r="T74" s="283"/>
      <c r="U74" s="283"/>
    </row>
    <row r="75" spans="1:23" s="20" customFormat="1" ht="42" hidden="1" customHeight="1" x14ac:dyDescent="0.2">
      <c r="A75" s="1612"/>
      <c r="B75" s="1650" t="s">
        <v>391</v>
      </c>
      <c r="C75" s="1387"/>
      <c r="D75" s="1387"/>
      <c r="E75" s="1387"/>
      <c r="F75" s="1651"/>
      <c r="G75" s="1652"/>
      <c r="H75" s="1649"/>
      <c r="I75" s="1605"/>
      <c r="J75" s="1618"/>
      <c r="K75" s="1619"/>
      <c r="L75" s="88"/>
      <c r="M75" s="88"/>
      <c r="N75" s="283"/>
      <c r="O75" s="283"/>
      <c r="P75" s="283"/>
      <c r="Q75" s="283"/>
      <c r="R75" s="283"/>
      <c r="S75" s="283"/>
      <c r="T75" s="283"/>
      <c r="U75" s="283"/>
    </row>
    <row r="76" spans="1:23" s="1" customFormat="1" ht="25.5" hidden="1" customHeight="1" x14ac:dyDescent="0.25">
      <c r="A76" s="1052">
        <v>13</v>
      </c>
      <c r="B76" s="168" t="s">
        <v>996</v>
      </c>
      <c r="C76" s="1045"/>
      <c r="D76" s="1607"/>
      <c r="E76" s="1607"/>
      <c r="F76" s="1045">
        <f>SUM(G76:H76)</f>
        <v>0</v>
      </c>
      <c r="G76" s="1045"/>
      <c r="H76" s="1045"/>
      <c r="I76" s="1045">
        <f>F76-C76</f>
        <v>0</v>
      </c>
      <c r="J76" s="1608" t="e">
        <f>F76/C76</f>
        <v>#DIV/0!</v>
      </c>
      <c r="K76" s="168"/>
      <c r="M76" s="66" t="e">
        <f>F76+#REF!</f>
        <v>#REF!</v>
      </c>
      <c r="N76" s="1609"/>
      <c r="O76" s="285"/>
      <c r="P76" s="285"/>
      <c r="Q76" s="285"/>
      <c r="R76" s="285"/>
      <c r="S76" s="285"/>
      <c r="T76" s="285"/>
      <c r="U76" s="285"/>
    </row>
    <row r="77" spans="1:23" s="1" customFormat="1" x14ac:dyDescent="0.25">
      <c r="F77" s="66"/>
      <c r="M77" s="20"/>
      <c r="N77" s="285"/>
      <c r="O77" s="285"/>
      <c r="P77" s="285"/>
      <c r="Q77" s="285"/>
      <c r="R77" s="285"/>
      <c r="S77" s="285"/>
      <c r="T77" s="285"/>
      <c r="U77" s="285"/>
    </row>
    <row r="78" spans="1:23" hidden="1" x14ac:dyDescent="0.25">
      <c r="C78" s="1599"/>
      <c r="D78" s="1599"/>
      <c r="E78" s="1599"/>
      <c r="F78" s="1599"/>
      <c r="G78" s="1599"/>
      <c r="H78" s="1921" t="s">
        <v>967</v>
      </c>
      <c r="I78" s="1921"/>
      <c r="J78" s="1921"/>
      <c r="K78" s="1921"/>
      <c r="M78"/>
      <c r="N78"/>
      <c r="O78"/>
      <c r="P78"/>
      <c r="Q78"/>
      <c r="R78"/>
      <c r="S78"/>
      <c r="T78"/>
      <c r="U78"/>
    </row>
    <row r="79" spans="1:23" hidden="1" x14ac:dyDescent="0.25">
      <c r="B79" s="1597"/>
      <c r="C79" s="348"/>
      <c r="D79" s="348"/>
      <c r="E79" s="348"/>
      <c r="F79" s="348"/>
      <c r="G79" s="348"/>
      <c r="H79" s="1920" t="s">
        <v>461</v>
      </c>
      <c r="I79" s="1920"/>
      <c r="J79" s="1920"/>
      <c r="K79" s="1920"/>
      <c r="M79"/>
      <c r="N79"/>
      <c r="O79"/>
      <c r="P79"/>
      <c r="Q79"/>
      <c r="R79"/>
      <c r="S79"/>
      <c r="T79"/>
      <c r="U79"/>
    </row>
    <row r="80" spans="1:23" hidden="1" x14ac:dyDescent="0.25">
      <c r="F80"/>
      <c r="M80"/>
      <c r="N80"/>
      <c r="O80"/>
      <c r="P80"/>
      <c r="Q80"/>
      <c r="R80"/>
      <c r="S80"/>
      <c r="T80"/>
      <c r="U80"/>
    </row>
    <row r="81" spans="2:21" hidden="1" x14ac:dyDescent="0.25">
      <c r="F81"/>
      <c r="M81"/>
      <c r="N81"/>
      <c r="O81"/>
      <c r="P81"/>
      <c r="Q81"/>
      <c r="R81"/>
      <c r="S81"/>
      <c r="T81"/>
      <c r="U81"/>
    </row>
    <row r="82" spans="2:21" hidden="1" x14ac:dyDescent="0.25">
      <c r="F82"/>
      <c r="M82"/>
      <c r="N82"/>
      <c r="O82"/>
      <c r="P82"/>
      <c r="Q82"/>
      <c r="R82"/>
      <c r="S82"/>
      <c r="T82"/>
      <c r="U82"/>
    </row>
    <row r="83" spans="2:21" hidden="1" x14ac:dyDescent="0.25">
      <c r="F83"/>
      <c r="M83"/>
      <c r="N83"/>
      <c r="O83"/>
      <c r="P83"/>
      <c r="Q83"/>
      <c r="R83"/>
      <c r="S83"/>
      <c r="T83"/>
      <c r="U83"/>
    </row>
    <row r="84" spans="2:21" hidden="1" x14ac:dyDescent="0.25">
      <c r="F84"/>
      <c r="M84"/>
      <c r="N84"/>
      <c r="O84"/>
      <c r="P84"/>
      <c r="Q84"/>
      <c r="R84"/>
      <c r="S84"/>
      <c r="T84"/>
      <c r="U84"/>
    </row>
    <row r="85" spans="2:21" hidden="1" x14ac:dyDescent="0.25">
      <c r="B85" s="1598"/>
      <c r="C85" s="348"/>
      <c r="D85" s="348"/>
      <c r="E85" s="348"/>
      <c r="F85" s="348"/>
      <c r="G85" s="348"/>
      <c r="H85" s="1920" t="s">
        <v>460</v>
      </c>
      <c r="I85" s="1920"/>
      <c r="J85" s="1920"/>
      <c r="K85" s="1920"/>
      <c r="M85"/>
      <c r="N85"/>
      <c r="O85"/>
      <c r="P85"/>
      <c r="Q85"/>
      <c r="R85"/>
      <c r="S85"/>
      <c r="T85"/>
      <c r="U85"/>
    </row>
    <row r="86" spans="2:21" s="1" customFormat="1" hidden="1" x14ac:dyDescent="0.25">
      <c r="F86" s="66"/>
      <c r="M86" s="20">
        <f>SUM(M77:M77)</f>
        <v>0</v>
      </c>
      <c r="N86" s="285"/>
      <c r="O86" s="285"/>
      <c r="P86" s="285"/>
      <c r="Q86" s="285"/>
      <c r="R86" s="285"/>
      <c r="S86" s="285"/>
      <c r="T86" s="285"/>
      <c r="U86" s="285"/>
    </row>
    <row r="87" spans="2:21" s="1" customFormat="1" hidden="1" x14ac:dyDescent="0.25">
      <c r="F87" s="66"/>
      <c r="G87" s="66"/>
      <c r="M87" s="20"/>
      <c r="N87" s="285">
        <f t="shared" ref="N87:U87" si="19">SUM(N77:N86)</f>
        <v>0</v>
      </c>
      <c r="O87" s="285">
        <f t="shared" si="19"/>
        <v>0</v>
      </c>
      <c r="P87" s="285">
        <f t="shared" si="19"/>
        <v>0</v>
      </c>
      <c r="Q87" s="285">
        <f t="shared" si="19"/>
        <v>0</v>
      </c>
      <c r="R87" s="285">
        <f t="shared" si="19"/>
        <v>0</v>
      </c>
      <c r="S87" s="285">
        <f t="shared" si="19"/>
        <v>0</v>
      </c>
      <c r="T87" s="285">
        <f t="shared" si="19"/>
        <v>0</v>
      </c>
      <c r="U87" s="285">
        <f t="shared" si="19"/>
        <v>0</v>
      </c>
    </row>
    <row r="88" spans="2:21" s="1" customFormat="1" hidden="1" x14ac:dyDescent="0.25">
      <c r="F88" s="66"/>
      <c r="G88" s="66"/>
      <c r="M88" s="20"/>
      <c r="N88" s="285"/>
      <c r="O88" s="285"/>
      <c r="P88" s="285"/>
      <c r="Q88" s="285"/>
      <c r="R88" s="285"/>
      <c r="S88" s="285"/>
      <c r="T88" s="285"/>
      <c r="U88" s="285"/>
    </row>
    <row r="89" spans="2:21" s="1" customFormat="1" hidden="1" x14ac:dyDescent="0.25">
      <c r="F89" s="66"/>
      <c r="H89" s="66"/>
      <c r="M89" s="20"/>
      <c r="N89" s="285"/>
      <c r="O89" s="285"/>
      <c r="P89" s="285"/>
      <c r="Q89" s="285"/>
      <c r="R89" s="285"/>
      <c r="S89" s="285"/>
      <c r="T89" s="285"/>
      <c r="U89" s="285"/>
    </row>
    <row r="90" spans="2:21" hidden="1" x14ac:dyDescent="0.25"/>
    <row r="95" spans="2:21" x14ac:dyDescent="0.25">
      <c r="H95" s="53"/>
      <c r="I95" s="53"/>
    </row>
  </sheetData>
  <mergeCells count="15">
    <mergeCell ref="H78:K78"/>
    <mergeCell ref="H79:K79"/>
    <mergeCell ref="H85:K85"/>
    <mergeCell ref="K1:L1"/>
    <mergeCell ref="A2:K2"/>
    <mergeCell ref="A5:A6"/>
    <mergeCell ref="B5:B6"/>
    <mergeCell ref="I5:J5"/>
    <mergeCell ref="K5:K6"/>
    <mergeCell ref="F5:H5"/>
    <mergeCell ref="A3:K3"/>
    <mergeCell ref="C5:E5"/>
    <mergeCell ref="A1:B1"/>
    <mergeCell ref="J4:K4"/>
    <mergeCell ref="K56:K57"/>
  </mergeCells>
  <printOptions horizontalCentered="1"/>
  <pageMargins left="0.35433070866141703" right="0.35433070866141703" top="0.38" bottom="0.22" header="0.31496062992126" footer="0.196850393700787"/>
  <pageSetup paperSize="9" scale="70" firstPageNumber="85" orientation="landscape" useFirstPageNumber="1" r:id="rId1"/>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49"/>
  <sheetViews>
    <sheetView zoomScaleNormal="100" zoomScaleSheetLayoutView="115" workbookViewId="0">
      <selection activeCell="H38" sqref="H38"/>
    </sheetView>
  </sheetViews>
  <sheetFormatPr defaultRowHeight="15.75" x14ac:dyDescent="0.25"/>
  <cols>
    <col min="1" max="1" width="6.42578125" style="17" customWidth="1"/>
    <col min="2" max="2" width="67.28515625" style="253" customWidth="1"/>
    <col min="3" max="3" width="17.140625" style="19" customWidth="1"/>
    <col min="4" max="4" width="16.85546875" style="259" bestFit="1" customWidth="1"/>
    <col min="5" max="84" width="9.140625" style="18" customWidth="1"/>
    <col min="85" max="85" width="11" style="259" bestFit="1" customWidth="1"/>
    <col min="86" max="214" width="8.85546875" style="18"/>
    <col min="215" max="215" width="6.42578125" style="18" customWidth="1"/>
    <col min="216" max="216" width="67.28515625" style="18" customWidth="1"/>
    <col min="217" max="217" width="15.42578125" style="18" customWidth="1"/>
    <col min="218" max="219" width="0" style="18" hidden="1" customWidth="1"/>
    <col min="220" max="470" width="8.85546875" style="18"/>
    <col min="471" max="471" width="6.42578125" style="18" customWidth="1"/>
    <col min="472" max="472" width="67.28515625" style="18" customWidth="1"/>
    <col min="473" max="473" width="15.42578125" style="18" customWidth="1"/>
    <col min="474" max="475" width="0" style="18" hidden="1" customWidth="1"/>
    <col min="476" max="726" width="8.85546875" style="18"/>
    <col min="727" max="727" width="6.42578125" style="18" customWidth="1"/>
    <col min="728" max="728" width="67.28515625" style="18" customWidth="1"/>
    <col min="729" max="729" width="15.42578125" style="18" customWidth="1"/>
    <col min="730" max="731" width="0" style="18" hidden="1" customWidth="1"/>
    <col min="732" max="982" width="8.85546875" style="18"/>
    <col min="983" max="983" width="6.42578125" style="18" customWidth="1"/>
    <col min="984" max="984" width="67.28515625" style="18" customWidth="1"/>
    <col min="985" max="985" width="15.42578125" style="18" customWidth="1"/>
    <col min="986" max="987" width="0" style="18" hidden="1" customWidth="1"/>
    <col min="988" max="1238" width="8.85546875" style="18"/>
    <col min="1239" max="1239" width="6.42578125" style="18" customWidth="1"/>
    <col min="1240" max="1240" width="67.28515625" style="18" customWidth="1"/>
    <col min="1241" max="1241" width="15.42578125" style="18" customWidth="1"/>
    <col min="1242" max="1243" width="0" style="18" hidden="1" customWidth="1"/>
    <col min="1244" max="1494" width="8.85546875" style="18"/>
    <col min="1495" max="1495" width="6.42578125" style="18" customWidth="1"/>
    <col min="1496" max="1496" width="67.28515625" style="18" customWidth="1"/>
    <col min="1497" max="1497" width="15.42578125" style="18" customWidth="1"/>
    <col min="1498" max="1499" width="0" style="18" hidden="1" customWidth="1"/>
    <col min="1500" max="1750" width="8.85546875" style="18"/>
    <col min="1751" max="1751" width="6.42578125" style="18" customWidth="1"/>
    <col min="1752" max="1752" width="67.28515625" style="18" customWidth="1"/>
    <col min="1753" max="1753" width="15.42578125" style="18" customWidth="1"/>
    <col min="1754" max="1755" width="0" style="18" hidden="1" customWidth="1"/>
    <col min="1756" max="2006" width="8.85546875" style="18"/>
    <col min="2007" max="2007" width="6.42578125" style="18" customWidth="1"/>
    <col min="2008" max="2008" width="67.28515625" style="18" customWidth="1"/>
    <col min="2009" max="2009" width="15.42578125" style="18" customWidth="1"/>
    <col min="2010" max="2011" width="0" style="18" hidden="1" customWidth="1"/>
    <col min="2012" max="2262" width="8.85546875" style="18"/>
    <col min="2263" max="2263" width="6.42578125" style="18" customWidth="1"/>
    <col min="2264" max="2264" width="67.28515625" style="18" customWidth="1"/>
    <col min="2265" max="2265" width="15.42578125" style="18" customWidth="1"/>
    <col min="2266" max="2267" width="0" style="18" hidden="1" customWidth="1"/>
    <col min="2268" max="2518" width="8.85546875" style="18"/>
    <col min="2519" max="2519" width="6.42578125" style="18" customWidth="1"/>
    <col min="2520" max="2520" width="67.28515625" style="18" customWidth="1"/>
    <col min="2521" max="2521" width="15.42578125" style="18" customWidth="1"/>
    <col min="2522" max="2523" width="0" style="18" hidden="1" customWidth="1"/>
    <col min="2524" max="2774" width="8.85546875" style="18"/>
    <col min="2775" max="2775" width="6.42578125" style="18" customWidth="1"/>
    <col min="2776" max="2776" width="67.28515625" style="18" customWidth="1"/>
    <col min="2777" max="2777" width="15.42578125" style="18" customWidth="1"/>
    <col min="2778" max="2779" width="0" style="18" hidden="1" customWidth="1"/>
    <col min="2780" max="3030" width="8.85546875" style="18"/>
    <col min="3031" max="3031" width="6.42578125" style="18" customWidth="1"/>
    <col min="3032" max="3032" width="67.28515625" style="18" customWidth="1"/>
    <col min="3033" max="3033" width="15.42578125" style="18" customWidth="1"/>
    <col min="3034" max="3035" width="0" style="18" hidden="1" customWidth="1"/>
    <col min="3036" max="3286" width="8.85546875" style="18"/>
    <col min="3287" max="3287" width="6.42578125" style="18" customWidth="1"/>
    <col min="3288" max="3288" width="67.28515625" style="18" customWidth="1"/>
    <col min="3289" max="3289" width="15.42578125" style="18" customWidth="1"/>
    <col min="3290" max="3291" width="0" style="18" hidden="1" customWidth="1"/>
    <col min="3292" max="3542" width="8.85546875" style="18"/>
    <col min="3543" max="3543" width="6.42578125" style="18" customWidth="1"/>
    <col min="3544" max="3544" width="67.28515625" style="18" customWidth="1"/>
    <col min="3545" max="3545" width="15.42578125" style="18" customWidth="1"/>
    <col min="3546" max="3547" width="0" style="18" hidden="1" customWidth="1"/>
    <col min="3548" max="3798" width="8.85546875" style="18"/>
    <col min="3799" max="3799" width="6.42578125" style="18" customWidth="1"/>
    <col min="3800" max="3800" width="67.28515625" style="18" customWidth="1"/>
    <col min="3801" max="3801" width="15.42578125" style="18" customWidth="1"/>
    <col min="3802" max="3803" width="0" style="18" hidden="1" customWidth="1"/>
    <col min="3804" max="4054" width="8.85546875" style="18"/>
    <col min="4055" max="4055" width="6.42578125" style="18" customWidth="1"/>
    <col min="4056" max="4056" width="67.28515625" style="18" customWidth="1"/>
    <col min="4057" max="4057" width="15.42578125" style="18" customWidth="1"/>
    <col min="4058" max="4059" width="0" style="18" hidden="1" customWidth="1"/>
    <col min="4060" max="4310" width="8.85546875" style="18"/>
    <col min="4311" max="4311" width="6.42578125" style="18" customWidth="1"/>
    <col min="4312" max="4312" width="67.28515625" style="18" customWidth="1"/>
    <col min="4313" max="4313" width="15.42578125" style="18" customWidth="1"/>
    <col min="4314" max="4315" width="0" style="18" hidden="1" customWidth="1"/>
    <col min="4316" max="4566" width="8.85546875" style="18"/>
    <col min="4567" max="4567" width="6.42578125" style="18" customWidth="1"/>
    <col min="4568" max="4568" width="67.28515625" style="18" customWidth="1"/>
    <col min="4569" max="4569" width="15.42578125" style="18" customWidth="1"/>
    <col min="4570" max="4571" width="0" style="18" hidden="1" customWidth="1"/>
    <col min="4572" max="4822" width="8.85546875" style="18"/>
    <col min="4823" max="4823" width="6.42578125" style="18" customWidth="1"/>
    <col min="4824" max="4824" width="67.28515625" style="18" customWidth="1"/>
    <col min="4825" max="4825" width="15.42578125" style="18" customWidth="1"/>
    <col min="4826" max="4827" width="0" style="18" hidden="1" customWidth="1"/>
    <col min="4828" max="5078" width="8.85546875" style="18"/>
    <col min="5079" max="5079" width="6.42578125" style="18" customWidth="1"/>
    <col min="5080" max="5080" width="67.28515625" style="18" customWidth="1"/>
    <col min="5081" max="5081" width="15.42578125" style="18" customWidth="1"/>
    <col min="5082" max="5083" width="0" style="18" hidden="1" customWidth="1"/>
    <col min="5084" max="5334" width="8.85546875" style="18"/>
    <col min="5335" max="5335" width="6.42578125" style="18" customWidth="1"/>
    <col min="5336" max="5336" width="67.28515625" style="18" customWidth="1"/>
    <col min="5337" max="5337" width="15.42578125" style="18" customWidth="1"/>
    <col min="5338" max="5339" width="0" style="18" hidden="1" customWidth="1"/>
    <col min="5340" max="5590" width="8.85546875" style="18"/>
    <col min="5591" max="5591" width="6.42578125" style="18" customWidth="1"/>
    <col min="5592" max="5592" width="67.28515625" style="18" customWidth="1"/>
    <col min="5593" max="5593" width="15.42578125" style="18" customWidth="1"/>
    <col min="5594" max="5595" width="0" style="18" hidden="1" customWidth="1"/>
    <col min="5596" max="5846" width="8.85546875" style="18"/>
    <col min="5847" max="5847" width="6.42578125" style="18" customWidth="1"/>
    <col min="5848" max="5848" width="67.28515625" style="18" customWidth="1"/>
    <col min="5849" max="5849" width="15.42578125" style="18" customWidth="1"/>
    <col min="5850" max="5851" width="0" style="18" hidden="1" customWidth="1"/>
    <col min="5852" max="6102" width="8.85546875" style="18"/>
    <col min="6103" max="6103" width="6.42578125" style="18" customWidth="1"/>
    <col min="6104" max="6104" width="67.28515625" style="18" customWidth="1"/>
    <col min="6105" max="6105" width="15.42578125" style="18" customWidth="1"/>
    <col min="6106" max="6107" width="0" style="18" hidden="1" customWidth="1"/>
    <col min="6108" max="6358" width="8.85546875" style="18"/>
    <col min="6359" max="6359" width="6.42578125" style="18" customWidth="1"/>
    <col min="6360" max="6360" width="67.28515625" style="18" customWidth="1"/>
    <col min="6361" max="6361" width="15.42578125" style="18" customWidth="1"/>
    <col min="6362" max="6363" width="0" style="18" hidden="1" customWidth="1"/>
    <col min="6364" max="6614" width="8.85546875" style="18"/>
    <col min="6615" max="6615" width="6.42578125" style="18" customWidth="1"/>
    <col min="6616" max="6616" width="67.28515625" style="18" customWidth="1"/>
    <col min="6617" max="6617" width="15.42578125" style="18" customWidth="1"/>
    <col min="6618" max="6619" width="0" style="18" hidden="1" customWidth="1"/>
    <col min="6620" max="6870" width="8.85546875" style="18"/>
    <col min="6871" max="6871" width="6.42578125" style="18" customWidth="1"/>
    <col min="6872" max="6872" width="67.28515625" style="18" customWidth="1"/>
    <col min="6873" max="6873" width="15.42578125" style="18" customWidth="1"/>
    <col min="6874" max="6875" width="0" style="18" hidden="1" customWidth="1"/>
    <col min="6876" max="7126" width="8.85546875" style="18"/>
    <col min="7127" max="7127" width="6.42578125" style="18" customWidth="1"/>
    <col min="7128" max="7128" width="67.28515625" style="18" customWidth="1"/>
    <col min="7129" max="7129" width="15.42578125" style="18" customWidth="1"/>
    <col min="7130" max="7131" width="0" style="18" hidden="1" customWidth="1"/>
    <col min="7132" max="7382" width="8.85546875" style="18"/>
    <col min="7383" max="7383" width="6.42578125" style="18" customWidth="1"/>
    <col min="7384" max="7384" width="67.28515625" style="18" customWidth="1"/>
    <col min="7385" max="7385" width="15.42578125" style="18" customWidth="1"/>
    <col min="7386" max="7387" width="0" style="18" hidden="1" customWidth="1"/>
    <col min="7388" max="7638" width="8.85546875" style="18"/>
    <col min="7639" max="7639" width="6.42578125" style="18" customWidth="1"/>
    <col min="7640" max="7640" width="67.28515625" style="18" customWidth="1"/>
    <col min="7641" max="7641" width="15.42578125" style="18" customWidth="1"/>
    <col min="7642" max="7643" width="0" style="18" hidden="1" customWidth="1"/>
    <col min="7644" max="7894" width="8.85546875" style="18"/>
    <col min="7895" max="7895" width="6.42578125" style="18" customWidth="1"/>
    <col min="7896" max="7896" width="67.28515625" style="18" customWidth="1"/>
    <col min="7897" max="7897" width="15.42578125" style="18" customWidth="1"/>
    <col min="7898" max="7899" width="0" style="18" hidden="1" customWidth="1"/>
    <col min="7900" max="8150" width="8.85546875" style="18"/>
    <col min="8151" max="8151" width="6.42578125" style="18" customWidth="1"/>
    <col min="8152" max="8152" width="67.28515625" style="18" customWidth="1"/>
    <col min="8153" max="8153" width="15.42578125" style="18" customWidth="1"/>
    <col min="8154" max="8155" width="0" style="18" hidden="1" customWidth="1"/>
    <col min="8156" max="8406" width="8.85546875" style="18"/>
    <col min="8407" max="8407" width="6.42578125" style="18" customWidth="1"/>
    <col min="8408" max="8408" width="67.28515625" style="18" customWidth="1"/>
    <col min="8409" max="8409" width="15.42578125" style="18" customWidth="1"/>
    <col min="8410" max="8411" width="0" style="18" hidden="1" customWidth="1"/>
    <col min="8412" max="8662" width="8.85546875" style="18"/>
    <col min="8663" max="8663" width="6.42578125" style="18" customWidth="1"/>
    <col min="8664" max="8664" width="67.28515625" style="18" customWidth="1"/>
    <col min="8665" max="8665" width="15.42578125" style="18" customWidth="1"/>
    <col min="8666" max="8667" width="0" style="18" hidden="1" customWidth="1"/>
    <col min="8668" max="8918" width="8.85546875" style="18"/>
    <col min="8919" max="8919" width="6.42578125" style="18" customWidth="1"/>
    <col min="8920" max="8920" width="67.28515625" style="18" customWidth="1"/>
    <col min="8921" max="8921" width="15.42578125" style="18" customWidth="1"/>
    <col min="8922" max="8923" width="0" style="18" hidden="1" customWidth="1"/>
    <col min="8924" max="9174" width="8.85546875" style="18"/>
    <col min="9175" max="9175" width="6.42578125" style="18" customWidth="1"/>
    <col min="9176" max="9176" width="67.28515625" style="18" customWidth="1"/>
    <col min="9177" max="9177" width="15.42578125" style="18" customWidth="1"/>
    <col min="9178" max="9179" width="0" style="18" hidden="1" customWidth="1"/>
    <col min="9180" max="9430" width="8.85546875" style="18"/>
    <col min="9431" max="9431" width="6.42578125" style="18" customWidth="1"/>
    <col min="9432" max="9432" width="67.28515625" style="18" customWidth="1"/>
    <col min="9433" max="9433" width="15.42578125" style="18" customWidth="1"/>
    <col min="9434" max="9435" width="0" style="18" hidden="1" customWidth="1"/>
    <col min="9436" max="9686" width="8.85546875" style="18"/>
    <col min="9687" max="9687" width="6.42578125" style="18" customWidth="1"/>
    <col min="9688" max="9688" width="67.28515625" style="18" customWidth="1"/>
    <col min="9689" max="9689" width="15.42578125" style="18" customWidth="1"/>
    <col min="9690" max="9691" width="0" style="18" hidden="1" customWidth="1"/>
    <col min="9692" max="9942" width="8.85546875" style="18"/>
    <col min="9943" max="9943" width="6.42578125" style="18" customWidth="1"/>
    <col min="9944" max="9944" width="67.28515625" style="18" customWidth="1"/>
    <col min="9945" max="9945" width="15.42578125" style="18" customWidth="1"/>
    <col min="9946" max="9947" width="0" style="18" hidden="1" customWidth="1"/>
    <col min="9948" max="10198" width="8.85546875" style="18"/>
    <col min="10199" max="10199" width="6.42578125" style="18" customWidth="1"/>
    <col min="10200" max="10200" width="67.28515625" style="18" customWidth="1"/>
    <col min="10201" max="10201" width="15.42578125" style="18" customWidth="1"/>
    <col min="10202" max="10203" width="0" style="18" hidden="1" customWidth="1"/>
    <col min="10204" max="10454" width="8.85546875" style="18"/>
    <col min="10455" max="10455" width="6.42578125" style="18" customWidth="1"/>
    <col min="10456" max="10456" width="67.28515625" style="18" customWidth="1"/>
    <col min="10457" max="10457" width="15.42578125" style="18" customWidth="1"/>
    <col min="10458" max="10459" width="0" style="18" hidden="1" customWidth="1"/>
    <col min="10460" max="10710" width="8.85546875" style="18"/>
    <col min="10711" max="10711" width="6.42578125" style="18" customWidth="1"/>
    <col min="10712" max="10712" width="67.28515625" style="18" customWidth="1"/>
    <col min="10713" max="10713" width="15.42578125" style="18" customWidth="1"/>
    <col min="10714" max="10715" width="0" style="18" hidden="1" customWidth="1"/>
    <col min="10716" max="10966" width="8.85546875" style="18"/>
    <col min="10967" max="10967" width="6.42578125" style="18" customWidth="1"/>
    <col min="10968" max="10968" width="67.28515625" style="18" customWidth="1"/>
    <col min="10969" max="10969" width="15.42578125" style="18" customWidth="1"/>
    <col min="10970" max="10971" width="0" style="18" hidden="1" customWidth="1"/>
    <col min="10972" max="11222" width="8.85546875" style="18"/>
    <col min="11223" max="11223" width="6.42578125" style="18" customWidth="1"/>
    <col min="11224" max="11224" width="67.28515625" style="18" customWidth="1"/>
    <col min="11225" max="11225" width="15.42578125" style="18" customWidth="1"/>
    <col min="11226" max="11227" width="0" style="18" hidden="1" customWidth="1"/>
    <col min="11228" max="11478" width="8.85546875" style="18"/>
    <col min="11479" max="11479" width="6.42578125" style="18" customWidth="1"/>
    <col min="11480" max="11480" width="67.28515625" style="18" customWidth="1"/>
    <col min="11481" max="11481" width="15.42578125" style="18" customWidth="1"/>
    <col min="11482" max="11483" width="0" style="18" hidden="1" customWidth="1"/>
    <col min="11484" max="11734" width="8.85546875" style="18"/>
    <col min="11735" max="11735" width="6.42578125" style="18" customWidth="1"/>
    <col min="11736" max="11736" width="67.28515625" style="18" customWidth="1"/>
    <col min="11737" max="11737" width="15.42578125" style="18" customWidth="1"/>
    <col min="11738" max="11739" width="0" style="18" hidden="1" customWidth="1"/>
    <col min="11740" max="11990" width="8.85546875" style="18"/>
    <col min="11991" max="11991" width="6.42578125" style="18" customWidth="1"/>
    <col min="11992" max="11992" width="67.28515625" style="18" customWidth="1"/>
    <col min="11993" max="11993" width="15.42578125" style="18" customWidth="1"/>
    <col min="11994" max="11995" width="0" style="18" hidden="1" customWidth="1"/>
    <col min="11996" max="12246" width="8.85546875" style="18"/>
    <col min="12247" max="12247" width="6.42578125" style="18" customWidth="1"/>
    <col min="12248" max="12248" width="67.28515625" style="18" customWidth="1"/>
    <col min="12249" max="12249" width="15.42578125" style="18" customWidth="1"/>
    <col min="12250" max="12251" width="0" style="18" hidden="1" customWidth="1"/>
    <col min="12252" max="12502" width="8.85546875" style="18"/>
    <col min="12503" max="12503" width="6.42578125" style="18" customWidth="1"/>
    <col min="12504" max="12504" width="67.28515625" style="18" customWidth="1"/>
    <col min="12505" max="12505" width="15.42578125" style="18" customWidth="1"/>
    <col min="12506" max="12507" width="0" style="18" hidden="1" customWidth="1"/>
    <col min="12508" max="12758" width="8.85546875" style="18"/>
    <col min="12759" max="12759" width="6.42578125" style="18" customWidth="1"/>
    <col min="12760" max="12760" width="67.28515625" style="18" customWidth="1"/>
    <col min="12761" max="12761" width="15.42578125" style="18" customWidth="1"/>
    <col min="12762" max="12763" width="0" style="18" hidden="1" customWidth="1"/>
    <col min="12764" max="13014" width="8.85546875" style="18"/>
    <col min="13015" max="13015" width="6.42578125" style="18" customWidth="1"/>
    <col min="13016" max="13016" width="67.28515625" style="18" customWidth="1"/>
    <col min="13017" max="13017" width="15.42578125" style="18" customWidth="1"/>
    <col min="13018" max="13019" width="0" style="18" hidden="1" customWidth="1"/>
    <col min="13020" max="13270" width="8.85546875" style="18"/>
    <col min="13271" max="13271" width="6.42578125" style="18" customWidth="1"/>
    <col min="13272" max="13272" width="67.28515625" style="18" customWidth="1"/>
    <col min="13273" max="13273" width="15.42578125" style="18" customWidth="1"/>
    <col min="13274" max="13275" width="0" style="18" hidden="1" customWidth="1"/>
    <col min="13276" max="13526" width="8.85546875" style="18"/>
    <col min="13527" max="13527" width="6.42578125" style="18" customWidth="1"/>
    <col min="13528" max="13528" width="67.28515625" style="18" customWidth="1"/>
    <col min="13529" max="13529" width="15.42578125" style="18" customWidth="1"/>
    <col min="13530" max="13531" width="0" style="18" hidden="1" customWidth="1"/>
    <col min="13532" max="13782" width="8.85546875" style="18"/>
    <col min="13783" max="13783" width="6.42578125" style="18" customWidth="1"/>
    <col min="13784" max="13784" width="67.28515625" style="18" customWidth="1"/>
    <col min="13785" max="13785" width="15.42578125" style="18" customWidth="1"/>
    <col min="13786" max="13787" width="0" style="18" hidden="1" customWidth="1"/>
    <col min="13788" max="14038" width="8.85546875" style="18"/>
    <col min="14039" max="14039" width="6.42578125" style="18" customWidth="1"/>
    <col min="14040" max="14040" width="67.28515625" style="18" customWidth="1"/>
    <col min="14041" max="14041" width="15.42578125" style="18" customWidth="1"/>
    <col min="14042" max="14043" width="0" style="18" hidden="1" customWidth="1"/>
    <col min="14044" max="14294" width="8.85546875" style="18"/>
    <col min="14295" max="14295" width="6.42578125" style="18" customWidth="1"/>
    <col min="14296" max="14296" width="67.28515625" style="18" customWidth="1"/>
    <col min="14297" max="14297" width="15.42578125" style="18" customWidth="1"/>
    <col min="14298" max="14299" width="0" style="18" hidden="1" customWidth="1"/>
    <col min="14300" max="14550" width="8.85546875" style="18"/>
    <col min="14551" max="14551" width="6.42578125" style="18" customWidth="1"/>
    <col min="14552" max="14552" width="67.28515625" style="18" customWidth="1"/>
    <col min="14553" max="14553" width="15.42578125" style="18" customWidth="1"/>
    <col min="14554" max="14555" width="0" style="18" hidden="1" customWidth="1"/>
    <col min="14556" max="14806" width="8.85546875" style="18"/>
    <col min="14807" max="14807" width="6.42578125" style="18" customWidth="1"/>
    <col min="14808" max="14808" width="67.28515625" style="18" customWidth="1"/>
    <col min="14809" max="14809" width="15.42578125" style="18" customWidth="1"/>
    <col min="14810" max="14811" width="0" style="18" hidden="1" customWidth="1"/>
    <col min="14812" max="15062" width="8.85546875" style="18"/>
    <col min="15063" max="15063" width="6.42578125" style="18" customWidth="1"/>
    <col min="15064" max="15064" width="67.28515625" style="18" customWidth="1"/>
    <col min="15065" max="15065" width="15.42578125" style="18" customWidth="1"/>
    <col min="15066" max="15067" width="0" style="18" hidden="1" customWidth="1"/>
    <col min="15068" max="15318" width="8.85546875" style="18"/>
    <col min="15319" max="15319" width="6.42578125" style="18" customWidth="1"/>
    <col min="15320" max="15320" width="67.28515625" style="18" customWidth="1"/>
    <col min="15321" max="15321" width="15.42578125" style="18" customWidth="1"/>
    <col min="15322" max="15323" width="0" style="18" hidden="1" customWidth="1"/>
    <col min="15324" max="15574" width="8.85546875" style="18"/>
    <col min="15575" max="15575" width="6.42578125" style="18" customWidth="1"/>
    <col min="15576" max="15576" width="67.28515625" style="18" customWidth="1"/>
    <col min="15577" max="15577" width="15.42578125" style="18" customWidth="1"/>
    <col min="15578" max="15579" width="0" style="18" hidden="1" customWidth="1"/>
    <col min="15580" max="15830" width="8.85546875" style="18"/>
    <col min="15831" max="15831" width="6.42578125" style="18" customWidth="1"/>
    <col min="15832" max="15832" width="67.28515625" style="18" customWidth="1"/>
    <col min="15833" max="15833" width="15.42578125" style="18" customWidth="1"/>
    <col min="15834" max="15835" width="0" style="18" hidden="1" customWidth="1"/>
    <col min="15836" max="16086" width="8.85546875" style="18"/>
    <col min="16087" max="16087" width="6.42578125" style="18" customWidth="1"/>
    <col min="16088" max="16088" width="67.28515625" style="18" customWidth="1"/>
    <col min="16089" max="16089" width="15.42578125" style="18" customWidth="1"/>
    <col min="16090" max="16091" width="0" style="18" hidden="1" customWidth="1"/>
    <col min="16092" max="16344" width="8.85546875" style="18"/>
    <col min="16345" max="16384" width="8.85546875" style="18" customWidth="1"/>
  </cols>
  <sheetData>
    <row r="1" spans="1:85" s="95" customFormat="1" ht="14.25" customHeight="1" x14ac:dyDescent="0.25">
      <c r="A1" s="1938" t="str">
        <f>'48N'!A1</f>
        <v>UBND PHƯỜNG ĐỨC XUÂN</v>
      </c>
      <c r="B1" s="1938"/>
      <c r="C1" s="1115" t="s">
        <v>655</v>
      </c>
      <c r="D1" s="1115"/>
      <c r="CG1" s="254"/>
    </row>
    <row r="2" spans="1:85" s="96" customFormat="1" ht="25.5" customHeight="1" x14ac:dyDescent="0.2">
      <c r="A2" s="1939" t="s">
        <v>584</v>
      </c>
      <c r="B2" s="1939"/>
      <c r="C2" s="1939"/>
      <c r="D2" s="255"/>
      <c r="CG2" s="255"/>
    </row>
    <row r="3" spans="1:85" s="96" customFormat="1" ht="27" customHeight="1" x14ac:dyDescent="0.2">
      <c r="A3" s="1941" t="str">
        <f>'69'!A3:K3</f>
        <v>(Kèm theo Tờ trình số    /TTr-KTHT&amp;ĐT ngày      /4/2026 của phòng KTHT&amp;ĐT phường Đức Xuân)</v>
      </c>
      <c r="B3" s="1941"/>
      <c r="C3" s="1941"/>
      <c r="D3" s="255"/>
      <c r="CG3" s="255"/>
    </row>
    <row r="4" spans="1:85" s="96" customFormat="1" ht="11.25" customHeight="1" x14ac:dyDescent="0.25">
      <c r="A4" s="167"/>
      <c r="B4" s="250"/>
      <c r="C4" s="1071"/>
      <c r="D4" s="255"/>
      <c r="CG4" s="255"/>
    </row>
    <row r="5" spans="1:85" s="95" customFormat="1" ht="21" customHeight="1" x14ac:dyDescent="0.25">
      <c r="A5" s="97"/>
      <c r="B5" s="1940" t="s">
        <v>563</v>
      </c>
      <c r="C5" s="1940"/>
      <c r="D5" s="254"/>
      <c r="CG5" s="254"/>
    </row>
    <row r="6" spans="1:85" s="98" customFormat="1" ht="21" customHeight="1" x14ac:dyDescent="0.2">
      <c r="A6" s="934" t="s">
        <v>1</v>
      </c>
      <c r="B6" s="934" t="s">
        <v>2</v>
      </c>
      <c r="C6" s="935" t="s">
        <v>259</v>
      </c>
      <c r="D6" s="256"/>
      <c r="CG6" s="256"/>
    </row>
    <row r="7" spans="1:85" s="1065" customFormat="1" ht="22.5" customHeight="1" x14ac:dyDescent="0.25">
      <c r="A7" s="1062" t="s">
        <v>4</v>
      </c>
      <c r="B7" s="1062" t="s">
        <v>5</v>
      </c>
      <c r="C7" s="1063" t="s">
        <v>42</v>
      </c>
      <c r="D7" s="1064"/>
      <c r="CG7" s="1064"/>
    </row>
    <row r="8" spans="1:85" s="98" customFormat="1" ht="25.5" customHeight="1" x14ac:dyDescent="0.2">
      <c r="A8" s="318" t="s">
        <v>4</v>
      </c>
      <c r="B8" s="320" t="s">
        <v>363</v>
      </c>
      <c r="C8" s="319">
        <f>C9+C10</f>
        <v>460889.45800000004</v>
      </c>
      <c r="D8" s="371"/>
      <c r="CG8" s="256"/>
    </row>
    <row r="9" spans="1:85" s="98" customFormat="1" ht="21.75" customHeight="1" x14ac:dyDescent="0.2">
      <c r="A9" s="318" t="s">
        <v>6</v>
      </c>
      <c r="B9" s="320" t="s">
        <v>260</v>
      </c>
      <c r="C9" s="319"/>
      <c r="D9" s="256"/>
      <c r="CG9" s="256"/>
    </row>
    <row r="10" spans="1:85" s="97" customFormat="1" ht="19.5" customHeight="1" x14ac:dyDescent="0.25">
      <c r="A10" s="318" t="s">
        <v>12</v>
      </c>
      <c r="B10" s="320" t="s">
        <v>287</v>
      </c>
      <c r="C10" s="319">
        <f>C11+C16</f>
        <v>460889.45800000004</v>
      </c>
      <c r="D10" s="311"/>
      <c r="CG10" s="311"/>
    </row>
    <row r="11" spans="1:85" s="98" customFormat="1" ht="36.75" customHeight="1" x14ac:dyDescent="0.2">
      <c r="A11" s="318">
        <v>1</v>
      </c>
      <c r="B11" s="320" t="s">
        <v>587</v>
      </c>
      <c r="C11" s="321">
        <f>SUM(C12:C15)</f>
        <v>112004.84600000001</v>
      </c>
      <c r="D11" s="256"/>
      <c r="CG11" s="256"/>
    </row>
    <row r="12" spans="1:85" s="97" customFormat="1" ht="33.75" customHeight="1" x14ac:dyDescent="0.25">
      <c r="A12" s="322" t="s">
        <v>8</v>
      </c>
      <c r="B12" s="1055" t="s">
        <v>588</v>
      </c>
      <c r="C12" s="323">
        <v>81000</v>
      </c>
      <c r="D12" s="311"/>
      <c r="CG12" s="311"/>
    </row>
    <row r="13" spans="1:85" s="97" customFormat="1" ht="33.75" customHeight="1" x14ac:dyDescent="0.25">
      <c r="A13" s="396" t="s">
        <v>38</v>
      </c>
      <c r="B13" s="1066" t="s">
        <v>591</v>
      </c>
      <c r="C13" s="397">
        <v>7000</v>
      </c>
      <c r="D13" s="311"/>
      <c r="CG13" s="311"/>
    </row>
    <row r="14" spans="1:85" s="97" customFormat="1" ht="83.25" customHeight="1" x14ac:dyDescent="0.25">
      <c r="A14" s="396" t="s">
        <v>39</v>
      </c>
      <c r="B14" s="1068" t="s">
        <v>468</v>
      </c>
      <c r="C14" s="397">
        <v>4.8460000000000001</v>
      </c>
      <c r="D14" s="311"/>
      <c r="CG14" s="311"/>
    </row>
    <row r="15" spans="1:85" s="97" customFormat="1" ht="33.75" customHeight="1" x14ac:dyDescent="0.25">
      <c r="A15" s="396" t="s">
        <v>593</v>
      </c>
      <c r="B15" s="1067" t="s">
        <v>594</v>
      </c>
      <c r="C15" s="397">
        <v>24000</v>
      </c>
      <c r="D15" s="311"/>
      <c r="CG15" s="311"/>
    </row>
    <row r="16" spans="1:85" s="98" customFormat="1" ht="28.5" customHeight="1" x14ac:dyDescent="0.2">
      <c r="A16" s="934">
        <v>2</v>
      </c>
      <c r="B16" s="320" t="s">
        <v>589</v>
      </c>
      <c r="C16" s="321">
        <f>SUM(C17:C20)</f>
        <v>348884.61200000002</v>
      </c>
      <c r="D16" s="256"/>
      <c r="CG16" s="256"/>
    </row>
    <row r="17" spans="1:85" s="97" customFormat="1" ht="23.25" customHeight="1" x14ac:dyDescent="0.25">
      <c r="A17" s="322" t="s">
        <v>40</v>
      </c>
      <c r="B17" s="1055" t="s">
        <v>475</v>
      </c>
      <c r="C17" s="323">
        <v>10400</v>
      </c>
      <c r="D17" s="311"/>
      <c r="CG17" s="311"/>
    </row>
    <row r="18" spans="1:85" s="97" customFormat="1" ht="23.25" customHeight="1" x14ac:dyDescent="0.25">
      <c r="A18" s="1077" t="s">
        <v>41</v>
      </c>
      <c r="B18" s="1055" t="s">
        <v>590</v>
      </c>
      <c r="C18" s="1078">
        <v>38483.5</v>
      </c>
      <c r="D18" s="311"/>
      <c r="CG18" s="311"/>
    </row>
    <row r="19" spans="1:85" s="97" customFormat="1" ht="23.25" customHeight="1" x14ac:dyDescent="0.25">
      <c r="A19" s="1077" t="s">
        <v>47</v>
      </c>
      <c r="B19" s="1054" t="s">
        <v>592</v>
      </c>
      <c r="C19" s="1078">
        <v>1.1120000000000001</v>
      </c>
      <c r="D19" s="311"/>
      <c r="CG19" s="311"/>
    </row>
    <row r="20" spans="1:85" s="97" customFormat="1" ht="28.5" customHeight="1" x14ac:dyDescent="0.25">
      <c r="A20" s="1077" t="s">
        <v>116</v>
      </c>
      <c r="B20" s="1076" t="s">
        <v>595</v>
      </c>
      <c r="C20" s="1078">
        <v>300000</v>
      </c>
      <c r="D20" s="311"/>
      <c r="CG20" s="311"/>
    </row>
    <row r="21" spans="1:85" s="97" customFormat="1" ht="21" customHeight="1" x14ac:dyDescent="0.25">
      <c r="A21" s="1079" t="s">
        <v>5</v>
      </c>
      <c r="B21" s="1080" t="s">
        <v>364</v>
      </c>
      <c r="C21" s="1081">
        <f>C22+C30</f>
        <v>1285709.5090000001</v>
      </c>
      <c r="D21" s="311"/>
      <c r="CG21" s="311"/>
    </row>
    <row r="22" spans="1:85" s="97" customFormat="1" ht="21" customHeight="1" x14ac:dyDescent="0.25">
      <c r="A22" s="1079" t="s">
        <v>6</v>
      </c>
      <c r="B22" s="1080" t="s">
        <v>260</v>
      </c>
      <c r="C22" s="1081">
        <f>SUM(C23:C24,C28)</f>
        <v>125216.397</v>
      </c>
      <c r="D22" s="311"/>
      <c r="CG22" s="311"/>
    </row>
    <row r="23" spans="1:85" s="97" customFormat="1" ht="21" customHeight="1" x14ac:dyDescent="0.25">
      <c r="A23" s="1077">
        <v>1</v>
      </c>
      <c r="B23" s="1082" t="s">
        <v>597</v>
      </c>
      <c r="C23" s="1081">
        <f>32124.5+79530</f>
        <v>111654.5</v>
      </c>
      <c r="D23" s="311"/>
      <c r="CG23" s="311"/>
    </row>
    <row r="24" spans="1:85" s="97" customFormat="1" ht="21" customHeight="1" x14ac:dyDescent="0.25">
      <c r="A24" s="1077">
        <v>2</v>
      </c>
      <c r="B24" s="1082" t="s">
        <v>365</v>
      </c>
      <c r="C24" s="1081">
        <f>SUM(C25:C27)</f>
        <v>526.79200000000003</v>
      </c>
      <c r="D24" s="311"/>
      <c r="CG24" s="311"/>
    </row>
    <row r="25" spans="1:85" s="97" customFormat="1" ht="21" customHeight="1" x14ac:dyDescent="0.25">
      <c r="A25" s="1083" t="s">
        <v>40</v>
      </c>
      <c r="B25" s="1084" t="s">
        <v>383</v>
      </c>
      <c r="C25" s="1085">
        <v>526.79200000000003</v>
      </c>
      <c r="D25" s="311"/>
      <c r="CG25" s="311"/>
    </row>
    <row r="26" spans="1:85" s="97" customFormat="1" ht="32.25" customHeight="1" x14ac:dyDescent="0.25">
      <c r="A26" s="1083" t="s">
        <v>41</v>
      </c>
      <c r="B26" s="1084" t="s">
        <v>384</v>
      </c>
      <c r="C26" s="1081"/>
      <c r="D26" s="311"/>
      <c r="CG26" s="311"/>
    </row>
    <row r="27" spans="1:85" s="97" customFormat="1" ht="32.25" customHeight="1" x14ac:dyDescent="0.25">
      <c r="A27" s="1083" t="s">
        <v>47</v>
      </c>
      <c r="B27" s="1084" t="s">
        <v>392</v>
      </c>
      <c r="C27" s="1081"/>
      <c r="D27" s="311"/>
      <c r="CG27" s="311"/>
    </row>
    <row r="28" spans="1:85" s="97" customFormat="1" ht="36.75" customHeight="1" x14ac:dyDescent="0.25">
      <c r="A28" s="1077">
        <v>3</v>
      </c>
      <c r="B28" s="1082" t="s">
        <v>587</v>
      </c>
      <c r="C28" s="1078">
        <f>SUM(C29)</f>
        <v>13035.105</v>
      </c>
      <c r="D28" s="311"/>
      <c r="CG28" s="311"/>
    </row>
    <row r="29" spans="1:85" s="1065" customFormat="1" ht="33.75" customHeight="1" x14ac:dyDescent="0.25">
      <c r="A29" s="1083" t="s">
        <v>319</v>
      </c>
      <c r="B29" s="1060" t="s">
        <v>588</v>
      </c>
      <c r="C29" s="1069">
        <v>13035.105</v>
      </c>
      <c r="D29" s="1064"/>
      <c r="CG29" s="1064"/>
    </row>
    <row r="30" spans="1:85" s="98" customFormat="1" ht="21" customHeight="1" x14ac:dyDescent="0.2">
      <c r="A30" s="1079" t="s">
        <v>12</v>
      </c>
      <c r="B30" s="1080" t="s">
        <v>287</v>
      </c>
      <c r="C30" s="1086">
        <f>C31+C34+C38+C42</f>
        <v>1160493.112</v>
      </c>
      <c r="D30" s="256"/>
      <c r="CG30" s="256"/>
    </row>
    <row r="31" spans="1:85" s="98" customFormat="1" ht="36.75" customHeight="1" x14ac:dyDescent="0.2">
      <c r="A31" s="1079">
        <v>1</v>
      </c>
      <c r="B31" s="1080" t="s">
        <v>587</v>
      </c>
      <c r="C31" s="1086">
        <f>C32+C33</f>
        <v>5000</v>
      </c>
      <c r="D31" s="256"/>
      <c r="CG31" s="256"/>
    </row>
    <row r="32" spans="1:85" s="97" customFormat="1" ht="33.75" customHeight="1" x14ac:dyDescent="0.25">
      <c r="A32" s="1077" t="s">
        <v>8</v>
      </c>
      <c r="B32" s="1055" t="s">
        <v>588</v>
      </c>
      <c r="C32" s="1078">
        <v>4000</v>
      </c>
      <c r="D32" s="311"/>
      <c r="CG32" s="311"/>
    </row>
    <row r="33" spans="1:85" s="97" customFormat="1" ht="33.75" customHeight="1" x14ac:dyDescent="0.25">
      <c r="A33" s="1077" t="s">
        <v>38</v>
      </c>
      <c r="B33" s="1068" t="s">
        <v>594</v>
      </c>
      <c r="C33" s="1078">
        <v>1000</v>
      </c>
      <c r="D33" s="311"/>
      <c r="CG33" s="311"/>
    </row>
    <row r="34" spans="1:85" s="98" customFormat="1" ht="26.25" customHeight="1" x14ac:dyDescent="0.2">
      <c r="A34" s="1079">
        <v>2</v>
      </c>
      <c r="B34" s="1080" t="s">
        <v>589</v>
      </c>
      <c r="C34" s="1086">
        <f>SUM(C35:C37)</f>
        <v>16000</v>
      </c>
      <c r="D34" s="256"/>
      <c r="CG34" s="256"/>
    </row>
    <row r="35" spans="1:85" s="97" customFormat="1" ht="23.25" customHeight="1" x14ac:dyDescent="0.25">
      <c r="A35" s="1077" t="s">
        <v>40</v>
      </c>
      <c r="B35" s="1055" t="s">
        <v>475</v>
      </c>
      <c r="C35" s="1078">
        <v>4000</v>
      </c>
      <c r="D35" s="311"/>
      <c r="CG35" s="311"/>
    </row>
    <row r="36" spans="1:85" s="97" customFormat="1" ht="23.25" customHeight="1" x14ac:dyDescent="0.25">
      <c r="A36" s="1077" t="s">
        <v>41</v>
      </c>
      <c r="B36" s="1055" t="s">
        <v>590</v>
      </c>
      <c r="C36" s="1078">
        <v>2000</v>
      </c>
      <c r="D36" s="311"/>
      <c r="CG36" s="311"/>
    </row>
    <row r="37" spans="1:85" s="97" customFormat="1" ht="28.5" customHeight="1" x14ac:dyDescent="0.25">
      <c r="A37" s="1077" t="s">
        <v>47</v>
      </c>
      <c r="B37" s="1076" t="s">
        <v>595</v>
      </c>
      <c r="C37" s="1078">
        <v>10000</v>
      </c>
      <c r="D37" s="311"/>
      <c r="CG37" s="311"/>
    </row>
    <row r="38" spans="1:85" s="98" customFormat="1" ht="27.75" customHeight="1" x14ac:dyDescent="0.2">
      <c r="A38" s="1079">
        <v>3</v>
      </c>
      <c r="B38" s="785" t="s">
        <v>307</v>
      </c>
      <c r="C38" s="1399">
        <f>SUM(C39:C41)</f>
        <v>264526.3</v>
      </c>
      <c r="D38" s="256"/>
      <c r="CG38" s="256"/>
    </row>
    <row r="39" spans="1:85" s="97" customFormat="1" ht="21" customHeight="1" x14ac:dyDescent="0.25">
      <c r="A39" s="1077" t="s">
        <v>319</v>
      </c>
      <c r="B39" s="1082" t="s">
        <v>585</v>
      </c>
      <c r="C39" s="1400">
        <v>59946.3</v>
      </c>
      <c r="D39" s="311"/>
      <c r="CG39" s="311"/>
    </row>
    <row r="40" spans="1:85" s="97" customFormat="1" ht="21" customHeight="1" x14ac:dyDescent="0.25">
      <c r="A40" s="1077" t="s">
        <v>596</v>
      </c>
      <c r="B40" s="1087" t="s">
        <v>586</v>
      </c>
      <c r="C40" s="1088">
        <v>200000</v>
      </c>
      <c r="D40" s="311"/>
      <c r="CG40" s="311"/>
    </row>
    <row r="41" spans="1:85" s="97" customFormat="1" ht="21" customHeight="1" x14ac:dyDescent="0.25">
      <c r="A41" s="1077" t="s">
        <v>600</v>
      </c>
      <c r="B41" s="1087" t="s">
        <v>601</v>
      </c>
      <c r="C41" s="1088">
        <v>4580</v>
      </c>
      <c r="D41" s="311"/>
      <c r="CG41" s="311"/>
    </row>
    <row r="42" spans="1:85" s="1075" customFormat="1" ht="45" customHeight="1" x14ac:dyDescent="0.25">
      <c r="A42" s="1079">
        <v>4</v>
      </c>
      <c r="B42" s="1089" t="s">
        <v>598</v>
      </c>
      <c r="C42" s="1090">
        <f>C43</f>
        <v>874966.81199999992</v>
      </c>
      <c r="D42" s="1074"/>
      <c r="CG42" s="1074"/>
    </row>
    <row r="43" spans="1:85" s="401" customFormat="1" ht="21" customHeight="1" x14ac:dyDescent="0.25">
      <c r="A43" s="398" t="s">
        <v>8</v>
      </c>
      <c r="B43" s="399" t="s">
        <v>380</v>
      </c>
      <c r="C43" s="1398">
        <f>1701696.812-79530-747200</f>
        <v>874966.81199999992</v>
      </c>
      <c r="D43" s="400"/>
      <c r="CG43" s="400"/>
    </row>
    <row r="44" spans="1:85" s="98" customFormat="1" ht="20.25" customHeight="1" x14ac:dyDescent="0.2">
      <c r="A44" s="318"/>
      <c r="B44" s="318" t="s">
        <v>366</v>
      </c>
      <c r="C44" s="319">
        <f>C8+C21</f>
        <v>1746598.9670000002</v>
      </c>
      <c r="D44" s="256"/>
      <c r="CG44" s="256"/>
    </row>
    <row r="45" spans="1:85" s="116" customFormat="1" ht="25.15" customHeight="1" x14ac:dyDescent="0.25">
      <c r="B45" s="252"/>
      <c r="C45" s="1397"/>
      <c r="D45" s="258"/>
      <c r="CG45" s="258"/>
    </row>
    <row r="46" spans="1:85" s="116" customFormat="1" ht="18" customHeight="1" x14ac:dyDescent="0.25">
      <c r="B46" s="252"/>
      <c r="C46" s="1072"/>
      <c r="D46" s="258"/>
      <c r="CG46" s="258"/>
    </row>
    <row r="47" spans="1:85" s="99" customFormat="1" ht="15" x14ac:dyDescent="0.25">
      <c r="B47" s="251"/>
      <c r="C47" s="100"/>
      <c r="D47" s="257"/>
      <c r="CG47" s="257"/>
    </row>
    <row r="48" spans="1:85" s="99" customFormat="1" ht="25.9" customHeight="1" x14ac:dyDescent="0.25">
      <c r="B48" s="251"/>
      <c r="C48" s="100"/>
      <c r="D48" s="257"/>
      <c r="CG48" s="257"/>
    </row>
    <row r="49" spans="3:3" ht="30" customHeight="1" x14ac:dyDescent="0.25">
      <c r="C49" s="1073"/>
    </row>
  </sheetData>
  <mergeCells count="4">
    <mergeCell ref="A1:B1"/>
    <mergeCell ref="A2:C2"/>
    <mergeCell ref="B5:C5"/>
    <mergeCell ref="A3:C3"/>
  </mergeCells>
  <printOptions horizontalCentered="1"/>
  <pageMargins left="0.42" right="0.21" top="0.66929133858267698" bottom="0.47244094488188998" header="0.31496062992126" footer="0.31496062992126"/>
  <pageSetup paperSize="9" scale="95" firstPageNumber="87" orientation="portrait" useFirstPageNumber="1"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selection activeCell="A4" sqref="A4"/>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3.5703125" style="873" customWidth="1"/>
    <col min="6" max="6" width="11.42578125" style="350" customWidth="1"/>
    <col min="7" max="7" width="11" style="873" customWidth="1"/>
    <col min="8" max="8" width="10.42578125" style="873" customWidth="1"/>
    <col min="9" max="9" width="11" style="873" customWidth="1"/>
    <col min="10" max="10" width="9.42578125" style="873" customWidth="1"/>
    <col min="11" max="11" width="9" style="873" customWidth="1"/>
    <col min="12" max="12" width="8.5703125" style="873" customWidth="1"/>
    <col min="13" max="13" width="5.42578125" style="873" customWidth="1"/>
    <col min="14" max="14" width="9.28515625" style="873" customWidth="1"/>
    <col min="15" max="15" width="8.85546875" style="873" customWidth="1"/>
    <col min="16" max="16" width="13" style="873" customWidth="1"/>
    <col min="17" max="18" width="13.42578125" style="873" customWidth="1"/>
    <col min="19" max="19" width="9" style="873" customWidth="1"/>
    <col min="20" max="20" width="10" style="873" customWidth="1"/>
    <col min="21" max="21" width="9.140625" style="873" customWidth="1"/>
    <col min="22" max="22" width="11.7109375" style="873" customWidth="1"/>
    <col min="23" max="23" width="12.85546875" style="873" customWidth="1"/>
    <col min="24" max="24" width="9" style="1175" customWidth="1"/>
    <col min="25" max="25" width="12.85546875" style="873" customWidth="1"/>
    <col min="26" max="26" width="18.5703125" style="873" customWidth="1"/>
    <col min="27" max="16384" width="10.28515625" style="873"/>
  </cols>
  <sheetData>
    <row r="1" spans="1:27" x14ac:dyDescent="0.25">
      <c r="A1" s="1779" t="s">
        <v>652</v>
      </c>
      <c r="B1" s="1779"/>
      <c r="C1" s="1779"/>
      <c r="D1" s="1779"/>
      <c r="E1" s="1779"/>
      <c r="F1" s="1779"/>
      <c r="G1" s="1779"/>
      <c r="H1" s="1779"/>
      <c r="I1" s="1125"/>
      <c r="J1" s="1125"/>
      <c r="K1" s="1125"/>
      <c r="L1" s="1125"/>
      <c r="M1" s="1125"/>
      <c r="N1" s="1125"/>
      <c r="O1" s="1125"/>
      <c r="P1" s="1125"/>
      <c r="Q1" s="1125"/>
      <c r="R1" s="872"/>
      <c r="S1" s="872"/>
      <c r="T1" s="872"/>
      <c r="U1" s="872"/>
      <c r="V1" s="872"/>
      <c r="W1" s="1954" t="s">
        <v>696</v>
      </c>
      <c r="X1" s="1954"/>
      <c r="Y1" s="1954"/>
    </row>
    <row r="2" spans="1:27" ht="18.75" x14ac:dyDescent="0.3">
      <c r="A2" s="1947" t="s">
        <v>657</v>
      </c>
      <c r="B2" s="1947"/>
      <c r="C2" s="1947"/>
      <c r="D2" s="1947"/>
      <c r="E2" s="1947"/>
      <c r="F2" s="1947"/>
      <c r="G2" s="1947"/>
      <c r="H2" s="1947"/>
      <c r="I2" s="1947"/>
      <c r="J2" s="1947"/>
      <c r="K2" s="1947"/>
      <c r="L2" s="1947"/>
      <c r="M2" s="1947"/>
      <c r="N2" s="1947"/>
      <c r="O2" s="1947"/>
      <c r="P2" s="1947"/>
      <c r="Q2" s="1947"/>
      <c r="R2" s="1947"/>
      <c r="S2" s="1947"/>
      <c r="T2" s="1947"/>
      <c r="U2" s="1947"/>
      <c r="V2" s="1947"/>
      <c r="W2" s="1947"/>
      <c r="X2" s="1947"/>
      <c r="Y2" s="1947"/>
    </row>
    <row r="3" spans="1:27" ht="18.75" x14ac:dyDescent="0.3">
      <c r="A3" s="1948" t="str">
        <f>'48N'!A4:F4</f>
        <v>(Kèm theo Tờ trình số    /TTr-KTHT&amp;ĐT ngày      /4/2026 của phòng KTHT&amp;ĐT phường Đức Xuân)</v>
      </c>
      <c r="B3" s="1948"/>
      <c r="C3" s="1948"/>
      <c r="D3" s="1948"/>
      <c r="E3" s="1948"/>
      <c r="F3" s="1948"/>
      <c r="G3" s="1948"/>
      <c r="H3" s="1948"/>
      <c r="I3" s="1948"/>
      <c r="J3" s="1948"/>
      <c r="K3" s="1948"/>
      <c r="L3" s="1948"/>
      <c r="M3" s="1948"/>
      <c r="N3" s="1948"/>
      <c r="O3" s="1948"/>
      <c r="P3" s="1948"/>
      <c r="Q3" s="1948"/>
      <c r="R3" s="1948"/>
      <c r="S3" s="1948"/>
      <c r="T3" s="1948"/>
      <c r="U3" s="1948"/>
      <c r="V3" s="1948"/>
      <c r="W3" s="1948"/>
      <c r="X3" s="1948"/>
      <c r="Y3" s="1948"/>
    </row>
    <row r="4" spans="1:27" x14ac:dyDescent="0.25">
      <c r="A4" s="1126"/>
      <c r="B4" s="1126"/>
      <c r="C4" s="1127"/>
      <c r="D4" s="1126"/>
      <c r="E4" s="1128"/>
      <c r="F4" s="780"/>
      <c r="G4" s="1129"/>
      <c r="H4" s="1129"/>
      <c r="I4" s="1130"/>
      <c r="J4" s="1129"/>
      <c r="K4" s="1130"/>
      <c r="L4" s="1129"/>
      <c r="M4" s="1129"/>
      <c r="N4" s="1129"/>
      <c r="O4" s="1129"/>
      <c r="P4" s="1130"/>
      <c r="Q4" s="1131"/>
      <c r="R4" s="1131"/>
      <c r="S4" s="1949" t="s">
        <v>658</v>
      </c>
      <c r="T4" s="1949"/>
      <c r="U4" s="1949"/>
      <c r="V4" s="1949"/>
      <c r="W4" s="1949"/>
      <c r="X4" s="1949"/>
      <c r="Y4" s="1949"/>
    </row>
    <row r="5" spans="1:27" ht="30" customHeight="1" x14ac:dyDescent="0.25">
      <c r="A5" s="1943" t="s">
        <v>659</v>
      </c>
      <c r="B5" s="1943" t="s">
        <v>2</v>
      </c>
      <c r="C5" s="1950" t="s">
        <v>660</v>
      </c>
      <c r="D5" s="1953" t="s">
        <v>661</v>
      </c>
      <c r="E5" s="1943" t="s">
        <v>662</v>
      </c>
      <c r="F5" s="1943" t="s">
        <v>663</v>
      </c>
      <c r="G5" s="1943"/>
      <c r="H5" s="1942" t="s">
        <v>664</v>
      </c>
      <c r="I5" s="1942" t="s">
        <v>665</v>
      </c>
      <c r="J5" s="1942" t="s">
        <v>666</v>
      </c>
      <c r="K5" s="1942"/>
      <c r="L5" s="1942"/>
      <c r="M5" s="1942"/>
      <c r="N5" s="1942"/>
      <c r="O5" s="1942"/>
      <c r="P5" s="1942" t="s">
        <v>667</v>
      </c>
      <c r="Q5" s="1942"/>
      <c r="R5" s="1942"/>
      <c r="S5" s="1942"/>
      <c r="T5" s="1942"/>
      <c r="U5" s="1942"/>
      <c r="V5" s="1944" t="s">
        <v>668</v>
      </c>
      <c r="W5" s="1942" t="s">
        <v>669</v>
      </c>
      <c r="X5" s="1942" t="s">
        <v>670</v>
      </c>
      <c r="Y5" s="1943" t="s">
        <v>671</v>
      </c>
    </row>
    <row r="6" spans="1:27" ht="24" customHeight="1" x14ac:dyDescent="0.25">
      <c r="A6" s="1943"/>
      <c r="B6" s="1943"/>
      <c r="C6" s="1951"/>
      <c r="D6" s="1953"/>
      <c r="E6" s="1943"/>
      <c r="F6" s="1943"/>
      <c r="G6" s="1943"/>
      <c r="H6" s="1942"/>
      <c r="I6" s="1942"/>
      <c r="J6" s="1942" t="s">
        <v>672</v>
      </c>
      <c r="K6" s="1942" t="s">
        <v>673</v>
      </c>
      <c r="L6" s="1942"/>
      <c r="M6" s="1942"/>
      <c r="N6" s="1942" t="s">
        <v>674</v>
      </c>
      <c r="O6" s="1942" t="s">
        <v>675</v>
      </c>
      <c r="P6" s="1942" t="s">
        <v>676</v>
      </c>
      <c r="Q6" s="1942" t="s">
        <v>673</v>
      </c>
      <c r="R6" s="1942"/>
      <c r="S6" s="1942"/>
      <c r="T6" s="1942" t="s">
        <v>677</v>
      </c>
      <c r="U6" s="1942" t="s">
        <v>675</v>
      </c>
      <c r="V6" s="1945"/>
      <c r="W6" s="1942"/>
      <c r="X6" s="1942"/>
      <c r="Y6" s="1943"/>
    </row>
    <row r="7" spans="1:27" ht="128.25" customHeight="1" x14ac:dyDescent="0.25">
      <c r="A7" s="1943"/>
      <c r="B7" s="1943"/>
      <c r="C7" s="1952"/>
      <c r="D7" s="1953"/>
      <c r="E7" s="1943"/>
      <c r="F7" s="572" t="s">
        <v>15</v>
      </c>
      <c r="G7" s="1132" t="s">
        <v>678</v>
      </c>
      <c r="H7" s="1942"/>
      <c r="I7" s="1942"/>
      <c r="J7" s="1942"/>
      <c r="K7" s="1132" t="s">
        <v>15</v>
      </c>
      <c r="L7" s="1132" t="s">
        <v>679</v>
      </c>
      <c r="M7" s="1132" t="s">
        <v>680</v>
      </c>
      <c r="N7" s="1942"/>
      <c r="O7" s="1942"/>
      <c r="P7" s="1942"/>
      <c r="Q7" s="1132" t="s">
        <v>15</v>
      </c>
      <c r="R7" s="1132" t="s">
        <v>679</v>
      </c>
      <c r="S7" s="1132" t="s">
        <v>680</v>
      </c>
      <c r="T7" s="1942"/>
      <c r="U7" s="1942"/>
      <c r="V7" s="1946"/>
      <c r="W7" s="1942"/>
      <c r="X7" s="1942"/>
      <c r="Y7" s="1943"/>
    </row>
    <row r="8" spans="1:27" s="1139" customFormat="1" ht="21" x14ac:dyDescent="0.15">
      <c r="A8" s="1133">
        <v>1</v>
      </c>
      <c r="B8" s="1133">
        <v>2</v>
      </c>
      <c r="C8" s="1133">
        <v>3</v>
      </c>
      <c r="D8" s="1133">
        <v>4</v>
      </c>
      <c r="E8" s="1133">
        <v>5</v>
      </c>
      <c r="F8" s="1134">
        <v>6</v>
      </c>
      <c r="G8" s="1133">
        <v>7</v>
      </c>
      <c r="H8" s="1133">
        <v>8</v>
      </c>
      <c r="I8" s="1133">
        <v>9</v>
      </c>
      <c r="J8" s="1135">
        <v>10</v>
      </c>
      <c r="K8" s="1133" t="s">
        <v>44</v>
      </c>
      <c r="L8" s="1133">
        <v>12</v>
      </c>
      <c r="M8" s="1133">
        <v>13</v>
      </c>
      <c r="N8" s="1133">
        <v>14</v>
      </c>
      <c r="O8" s="1133" t="s">
        <v>681</v>
      </c>
      <c r="P8" s="1133">
        <v>16</v>
      </c>
      <c r="Q8" s="1133" t="s">
        <v>682</v>
      </c>
      <c r="R8" s="1133">
        <v>18</v>
      </c>
      <c r="S8" s="1133">
        <v>19</v>
      </c>
      <c r="T8" s="1133">
        <v>20</v>
      </c>
      <c r="U8" s="1133" t="s">
        <v>683</v>
      </c>
      <c r="V8" s="1136">
        <v>22</v>
      </c>
      <c r="W8" s="1137" t="s">
        <v>684</v>
      </c>
      <c r="X8" s="1137" t="s">
        <v>685</v>
      </c>
      <c r="Y8" s="1137" t="s">
        <v>686</v>
      </c>
      <c r="Z8" s="1138"/>
    </row>
    <row r="9" spans="1:27" x14ac:dyDescent="0.25">
      <c r="A9" s="1140"/>
      <c r="B9" s="1140" t="s">
        <v>687</v>
      </c>
      <c r="C9" s="1140"/>
      <c r="D9" s="1140"/>
      <c r="E9" s="1141">
        <f>E14</f>
        <v>14822000000</v>
      </c>
      <c r="F9" s="1141">
        <f t="shared" ref="F9:Y9" si="0">F14</f>
        <v>0</v>
      </c>
      <c r="G9" s="1141">
        <f t="shared" si="0"/>
        <v>0</v>
      </c>
      <c r="H9" s="1141">
        <f t="shared" si="0"/>
        <v>0</v>
      </c>
      <c r="I9" s="1141">
        <f t="shared" si="0"/>
        <v>0</v>
      </c>
      <c r="J9" s="1141">
        <f t="shared" si="0"/>
        <v>0</v>
      </c>
      <c r="K9" s="1141">
        <f t="shared" si="0"/>
        <v>0</v>
      </c>
      <c r="L9" s="1141">
        <f t="shared" si="0"/>
        <v>0</v>
      </c>
      <c r="M9" s="1141">
        <f t="shared" si="0"/>
        <v>0</v>
      </c>
      <c r="N9" s="1141">
        <f t="shared" si="0"/>
        <v>0</v>
      </c>
      <c r="O9" s="1141">
        <f t="shared" si="0"/>
        <v>0</v>
      </c>
      <c r="P9" s="1141">
        <f t="shared" si="0"/>
        <v>2719000000</v>
      </c>
      <c r="Q9" s="1141">
        <f t="shared" si="0"/>
        <v>2718551585</v>
      </c>
      <c r="R9" s="1141">
        <f t="shared" si="0"/>
        <v>2718551585</v>
      </c>
      <c r="S9" s="1141">
        <f t="shared" si="0"/>
        <v>0</v>
      </c>
      <c r="T9" s="1141">
        <f t="shared" si="0"/>
        <v>0</v>
      </c>
      <c r="U9" s="1141">
        <f t="shared" si="0"/>
        <v>448415</v>
      </c>
      <c r="V9" s="1141">
        <f t="shared" si="0"/>
        <v>0</v>
      </c>
      <c r="W9" s="1141">
        <f t="shared" si="0"/>
        <v>2718551585</v>
      </c>
      <c r="X9" s="1141">
        <f t="shared" si="0"/>
        <v>0</v>
      </c>
      <c r="Y9" s="1141">
        <f t="shared" si="0"/>
        <v>2718551585</v>
      </c>
      <c r="Z9" s="1142"/>
      <c r="AA9" s="1142"/>
    </row>
    <row r="10" spans="1:27" s="1148" customFormat="1" ht="12" x14ac:dyDescent="0.25">
      <c r="A10" s="1143" t="s">
        <v>688</v>
      </c>
      <c r="B10" s="1144" t="s">
        <v>54</v>
      </c>
      <c r="C10" s="1144"/>
      <c r="D10" s="1145"/>
      <c r="E10" s="1146"/>
      <c r="F10" s="1147"/>
      <c r="G10" s="1146"/>
      <c r="H10" s="1146"/>
      <c r="I10" s="1146"/>
      <c r="J10" s="1146"/>
      <c r="K10" s="1146"/>
      <c r="L10" s="1146"/>
      <c r="M10" s="1146"/>
      <c r="N10" s="1146"/>
      <c r="O10" s="1146"/>
      <c r="P10" s="1146"/>
      <c r="Q10" s="1146"/>
      <c r="R10" s="1146"/>
      <c r="S10" s="1146"/>
      <c r="T10" s="1146"/>
      <c r="U10" s="1146"/>
      <c r="V10" s="1146"/>
      <c r="W10" s="1146"/>
      <c r="X10" s="1146"/>
      <c r="Y10" s="1146"/>
    </row>
    <row r="11" spans="1:27" s="1148" customFormat="1" ht="24" x14ac:dyDescent="0.25">
      <c r="A11" s="1143"/>
      <c r="B11" s="1149" t="s">
        <v>689</v>
      </c>
      <c r="C11" s="1149"/>
      <c r="D11" s="1145"/>
      <c r="E11" s="1150"/>
      <c r="F11" s="1151"/>
      <c r="G11" s="1150"/>
      <c r="H11" s="1150"/>
      <c r="I11" s="1150"/>
      <c r="J11" s="1150"/>
      <c r="K11" s="1150"/>
      <c r="L11" s="1150"/>
      <c r="M11" s="1150"/>
      <c r="N11" s="1150"/>
      <c r="O11" s="1150"/>
      <c r="P11" s="1150"/>
      <c r="Q11" s="1150"/>
      <c r="R11" s="1150"/>
      <c r="S11" s="1150"/>
      <c r="T11" s="1150"/>
      <c r="U11" s="1150"/>
      <c r="V11" s="1150"/>
      <c r="W11" s="1150"/>
      <c r="X11" s="1150"/>
      <c r="Y11" s="1150"/>
    </row>
    <row r="12" spans="1:27" s="1148" customFormat="1" ht="24" x14ac:dyDescent="0.25">
      <c r="A12" s="1143"/>
      <c r="B12" s="1149" t="s">
        <v>690</v>
      </c>
      <c r="C12" s="1149"/>
      <c r="D12" s="1145"/>
      <c r="E12" s="1150">
        <f>E13</f>
        <v>14822000000</v>
      </c>
      <c r="F12" s="1150">
        <f t="shared" ref="F12:X12" si="1">F13</f>
        <v>0</v>
      </c>
      <c r="G12" s="1150">
        <f t="shared" si="1"/>
        <v>0</v>
      </c>
      <c r="H12" s="1150">
        <f t="shared" si="1"/>
        <v>0</v>
      </c>
      <c r="I12" s="1150">
        <f t="shared" si="1"/>
        <v>0</v>
      </c>
      <c r="J12" s="1150">
        <f t="shared" si="1"/>
        <v>0</v>
      </c>
      <c r="K12" s="1150">
        <f t="shared" si="1"/>
        <v>0</v>
      </c>
      <c r="L12" s="1150">
        <f t="shared" si="1"/>
        <v>0</v>
      </c>
      <c r="M12" s="1150">
        <f t="shared" si="1"/>
        <v>0</v>
      </c>
      <c r="N12" s="1150">
        <f t="shared" si="1"/>
        <v>0</v>
      </c>
      <c r="O12" s="1150">
        <f t="shared" si="1"/>
        <v>0</v>
      </c>
      <c r="P12" s="1150">
        <f t="shared" si="1"/>
        <v>2719000000</v>
      </c>
      <c r="Q12" s="1150">
        <f t="shared" si="1"/>
        <v>2718551585</v>
      </c>
      <c r="R12" s="1150">
        <f t="shared" si="1"/>
        <v>2718551585</v>
      </c>
      <c r="S12" s="1150">
        <f t="shared" si="1"/>
        <v>0</v>
      </c>
      <c r="T12" s="1150">
        <f t="shared" si="1"/>
        <v>0</v>
      </c>
      <c r="U12" s="1150">
        <f t="shared" si="1"/>
        <v>448415</v>
      </c>
      <c r="V12" s="1150">
        <f t="shared" si="1"/>
        <v>0</v>
      </c>
      <c r="W12" s="1150">
        <f t="shared" si="1"/>
        <v>2718551585</v>
      </c>
      <c r="X12" s="1150">
        <f t="shared" si="1"/>
        <v>0</v>
      </c>
      <c r="Y12" s="1150">
        <f>Y13</f>
        <v>2718551585</v>
      </c>
    </row>
    <row r="13" spans="1:27" s="1155" customFormat="1" ht="24" x14ac:dyDescent="0.25">
      <c r="A13" s="1152">
        <v>1</v>
      </c>
      <c r="B13" s="1153" t="s">
        <v>691</v>
      </c>
      <c r="C13" s="1153"/>
      <c r="D13" s="1154"/>
      <c r="E13" s="1146">
        <f>E16</f>
        <v>14822000000</v>
      </c>
      <c r="F13" s="1146">
        <f t="shared" ref="F13:Y13" si="2">F16</f>
        <v>0</v>
      </c>
      <c r="G13" s="1146">
        <f t="shared" si="2"/>
        <v>0</v>
      </c>
      <c r="H13" s="1146">
        <f t="shared" si="2"/>
        <v>0</v>
      </c>
      <c r="I13" s="1146">
        <f t="shared" si="2"/>
        <v>0</v>
      </c>
      <c r="J13" s="1146">
        <f t="shared" si="2"/>
        <v>0</v>
      </c>
      <c r="K13" s="1146">
        <f t="shared" si="2"/>
        <v>0</v>
      </c>
      <c r="L13" s="1146">
        <f t="shared" si="2"/>
        <v>0</v>
      </c>
      <c r="M13" s="1146">
        <f t="shared" si="2"/>
        <v>0</v>
      </c>
      <c r="N13" s="1146">
        <f t="shared" si="2"/>
        <v>0</v>
      </c>
      <c r="O13" s="1146">
        <f t="shared" si="2"/>
        <v>0</v>
      </c>
      <c r="P13" s="1146">
        <f t="shared" si="2"/>
        <v>2719000000</v>
      </c>
      <c r="Q13" s="1146">
        <f t="shared" si="2"/>
        <v>2718551585</v>
      </c>
      <c r="R13" s="1146">
        <f t="shared" si="2"/>
        <v>2718551585</v>
      </c>
      <c r="S13" s="1146">
        <f t="shared" si="2"/>
        <v>0</v>
      </c>
      <c r="T13" s="1146">
        <f t="shared" si="2"/>
        <v>0</v>
      </c>
      <c r="U13" s="1146">
        <f t="shared" si="2"/>
        <v>448415</v>
      </c>
      <c r="V13" s="1146">
        <f t="shared" si="2"/>
        <v>0</v>
      </c>
      <c r="W13" s="1146">
        <f t="shared" si="2"/>
        <v>2718551585</v>
      </c>
      <c r="X13" s="1146">
        <f t="shared" si="2"/>
        <v>0</v>
      </c>
      <c r="Y13" s="1146">
        <f t="shared" si="2"/>
        <v>2718551585</v>
      </c>
    </row>
    <row r="14" spans="1:27" ht="24" x14ac:dyDescent="0.25">
      <c r="A14" s="1156" t="s">
        <v>4</v>
      </c>
      <c r="B14" s="1157" t="s">
        <v>692</v>
      </c>
      <c r="C14" s="1158"/>
      <c r="D14" s="1156"/>
      <c r="E14" s="1159">
        <f>E15</f>
        <v>14822000000</v>
      </c>
      <c r="F14" s="1159">
        <f t="shared" ref="F14:Y15" si="3">F15</f>
        <v>0</v>
      </c>
      <c r="G14" s="1159">
        <f t="shared" si="3"/>
        <v>0</v>
      </c>
      <c r="H14" s="1159">
        <f t="shared" si="3"/>
        <v>0</v>
      </c>
      <c r="I14" s="1159">
        <f t="shared" si="3"/>
        <v>0</v>
      </c>
      <c r="J14" s="1159">
        <f t="shared" si="3"/>
        <v>0</v>
      </c>
      <c r="K14" s="1159">
        <f t="shared" si="3"/>
        <v>0</v>
      </c>
      <c r="L14" s="1159">
        <f t="shared" si="3"/>
        <v>0</v>
      </c>
      <c r="M14" s="1159">
        <f t="shared" si="3"/>
        <v>0</v>
      </c>
      <c r="N14" s="1159">
        <f t="shared" si="3"/>
        <v>0</v>
      </c>
      <c r="O14" s="1159">
        <f t="shared" si="3"/>
        <v>0</v>
      </c>
      <c r="P14" s="1159">
        <f t="shared" si="3"/>
        <v>2719000000</v>
      </c>
      <c r="Q14" s="1159">
        <f t="shared" si="3"/>
        <v>2718551585</v>
      </c>
      <c r="R14" s="1159">
        <f t="shared" si="3"/>
        <v>2718551585</v>
      </c>
      <c r="S14" s="1159">
        <f t="shared" si="3"/>
        <v>0</v>
      </c>
      <c r="T14" s="1159">
        <f t="shared" si="3"/>
        <v>0</v>
      </c>
      <c r="U14" s="1159">
        <f t="shared" si="3"/>
        <v>448415</v>
      </c>
      <c r="V14" s="1159">
        <f t="shared" si="3"/>
        <v>0</v>
      </c>
      <c r="W14" s="1159">
        <f t="shared" si="3"/>
        <v>2718551585</v>
      </c>
      <c r="X14" s="1159">
        <f t="shared" si="3"/>
        <v>0</v>
      </c>
      <c r="Y14" s="1159">
        <f t="shared" si="3"/>
        <v>2718551585</v>
      </c>
      <c r="Z14" s="1142"/>
    </row>
    <row r="15" spans="1:27" ht="24" x14ac:dyDescent="0.25">
      <c r="A15" s="1156" t="s">
        <v>6</v>
      </c>
      <c r="B15" s="1160" t="s">
        <v>693</v>
      </c>
      <c r="C15" s="1161"/>
      <c r="D15" s="1156"/>
      <c r="E15" s="1159">
        <f>E16</f>
        <v>14822000000</v>
      </c>
      <c r="F15" s="1159">
        <f t="shared" si="3"/>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c r="W15" s="1159">
        <f t="shared" si="3"/>
        <v>2718551585</v>
      </c>
      <c r="X15" s="1159">
        <f t="shared" si="3"/>
        <v>0</v>
      </c>
      <c r="Y15" s="1159">
        <f t="shared" si="3"/>
        <v>2718551585</v>
      </c>
      <c r="Z15" s="1142"/>
    </row>
    <row r="16" spans="1:27" ht="40.5" x14ac:dyDescent="0.25">
      <c r="A16" s="1162">
        <v>1</v>
      </c>
      <c r="B16" s="1163" t="s">
        <v>691</v>
      </c>
      <c r="C16" s="501"/>
      <c r="D16" s="1164"/>
      <c r="E16" s="1165">
        <f t="shared" ref="E16:X16" si="4">E17</f>
        <v>14822000000</v>
      </c>
      <c r="F16" s="1166">
        <f t="shared" si="4"/>
        <v>0</v>
      </c>
      <c r="G16" s="1165">
        <f t="shared" si="4"/>
        <v>0</v>
      </c>
      <c r="H16" s="1165">
        <f t="shared" si="4"/>
        <v>0</v>
      </c>
      <c r="I16" s="1165">
        <f t="shared" si="4"/>
        <v>0</v>
      </c>
      <c r="J16" s="1165">
        <f t="shared" si="4"/>
        <v>0</v>
      </c>
      <c r="K16" s="1165">
        <f t="shared" si="4"/>
        <v>0</v>
      </c>
      <c r="L16" s="1165">
        <f t="shared" si="4"/>
        <v>0</v>
      </c>
      <c r="M16" s="1165">
        <f t="shared" si="4"/>
        <v>0</v>
      </c>
      <c r="N16" s="1165">
        <f t="shared" si="4"/>
        <v>0</v>
      </c>
      <c r="O16" s="1165">
        <f t="shared" si="4"/>
        <v>0</v>
      </c>
      <c r="P16" s="1165">
        <f t="shared" si="4"/>
        <v>2719000000</v>
      </c>
      <c r="Q16" s="1165">
        <f t="shared" si="4"/>
        <v>2718551585</v>
      </c>
      <c r="R16" s="1165">
        <f t="shared" si="4"/>
        <v>2718551585</v>
      </c>
      <c r="S16" s="1165">
        <f t="shared" si="4"/>
        <v>0</v>
      </c>
      <c r="T16" s="1165">
        <f t="shared" si="4"/>
        <v>0</v>
      </c>
      <c r="U16" s="1165">
        <f t="shared" si="4"/>
        <v>448415</v>
      </c>
      <c r="V16" s="1165"/>
      <c r="W16" s="1165">
        <f t="shared" si="4"/>
        <v>2718551585</v>
      </c>
      <c r="X16" s="1165">
        <f t="shared" si="4"/>
        <v>0</v>
      </c>
      <c r="Y16" s="1165">
        <f>Y17</f>
        <v>2718551585</v>
      </c>
      <c r="Z16" s="1142"/>
    </row>
    <row r="17" spans="1:26" s="1175" customFormat="1" ht="36" x14ac:dyDescent="0.25">
      <c r="A17" s="1167" t="s">
        <v>8</v>
      </c>
      <c r="B17" s="1168" t="s">
        <v>430</v>
      </c>
      <c r="C17" s="1169" t="s">
        <v>694</v>
      </c>
      <c r="D17" s="1170">
        <v>8073025</v>
      </c>
      <c r="E17" s="1171">
        <v>14822000000</v>
      </c>
      <c r="F17" s="1172"/>
      <c r="G17" s="1171"/>
      <c r="H17" s="1171"/>
      <c r="I17" s="1171"/>
      <c r="J17" s="1173"/>
      <c r="K17" s="1173">
        <f>L17+M17</f>
        <v>0</v>
      </c>
      <c r="L17" s="1173"/>
      <c r="M17" s="1173"/>
      <c r="N17" s="1173"/>
      <c r="O17" s="1173">
        <f>J17-K17</f>
        <v>0</v>
      </c>
      <c r="P17" s="1171">
        <v>2719000000</v>
      </c>
      <c r="Q17" s="1171">
        <f>R17+S17</f>
        <v>2718551585</v>
      </c>
      <c r="R17" s="1171">
        <v>2718551585</v>
      </c>
      <c r="S17" s="1171"/>
      <c r="T17" s="1171"/>
      <c r="U17" s="1171">
        <f>P17-Q17-T17</f>
        <v>448415</v>
      </c>
      <c r="V17" s="1171"/>
      <c r="W17" s="1171">
        <f>I17+L17+R17</f>
        <v>2718551585</v>
      </c>
      <c r="X17" s="1171">
        <f>G17-H17-I17+M17+S17</f>
        <v>0</v>
      </c>
      <c r="Y17" s="1174">
        <f>F17-H17+K17+Q17-V17</f>
        <v>2718551585</v>
      </c>
    </row>
    <row r="18" spans="1:26" s="1177" customFormat="1" ht="20.25" x14ac:dyDescent="0.3">
      <c r="B18" s="1181"/>
      <c r="C18" s="1181"/>
      <c r="D18" s="1181"/>
      <c r="E18" s="1181"/>
      <c r="F18" s="1182"/>
      <c r="G18" s="1181"/>
      <c r="H18" s="1181"/>
      <c r="I18" s="1183"/>
      <c r="J18" s="1183"/>
      <c r="K18" s="1183"/>
      <c r="L18" s="1183"/>
      <c r="M18" s="1183"/>
      <c r="N18" s="1183"/>
      <c r="O18" s="1183"/>
      <c r="P18" s="1179"/>
      <c r="Q18" s="1179"/>
      <c r="R18" s="1179"/>
      <c r="S18" s="1179"/>
      <c r="T18" s="1179"/>
      <c r="U18" s="1179"/>
      <c r="V18" s="1179"/>
      <c r="W18" s="1179"/>
      <c r="X18" s="1179"/>
      <c r="Y18" s="1179"/>
      <c r="Z18" s="1183"/>
    </row>
    <row r="19" spans="1:26" s="1177" customFormat="1" ht="20.25" x14ac:dyDescent="0.3">
      <c r="B19" s="1181"/>
      <c r="C19" s="1181"/>
      <c r="D19" s="1181"/>
      <c r="E19" s="1181"/>
      <c r="F19" s="1182"/>
      <c r="G19" s="1181"/>
      <c r="H19" s="1181"/>
      <c r="I19" s="1183"/>
      <c r="J19" s="1183"/>
      <c r="K19" s="1183"/>
      <c r="L19" s="1183"/>
      <c r="M19" s="1183"/>
      <c r="N19" s="1183"/>
      <c r="O19" s="1183"/>
      <c r="P19" s="1179"/>
      <c r="Q19" s="1179"/>
      <c r="R19" s="1179"/>
      <c r="S19" s="1179"/>
      <c r="T19" s="1179"/>
      <c r="U19" s="1179"/>
      <c r="V19" s="1179"/>
      <c r="W19" s="1179"/>
      <c r="X19" s="1179"/>
      <c r="Y19" s="1179"/>
      <c r="Z19" s="1183"/>
    </row>
    <row r="20" spans="1:26" s="1177" customFormat="1" ht="20.25" x14ac:dyDescent="0.3">
      <c r="B20" s="1181"/>
      <c r="C20" s="1181"/>
      <c r="D20" s="1181"/>
      <c r="E20" s="1181"/>
      <c r="F20" s="1182"/>
      <c r="G20" s="1181"/>
      <c r="H20" s="1181"/>
      <c r="I20" s="1183"/>
      <c r="J20" s="1183"/>
      <c r="K20" s="1183"/>
      <c r="L20" s="1183"/>
      <c r="M20" s="1183"/>
      <c r="N20" s="1183"/>
      <c r="O20" s="1183"/>
      <c r="P20" s="1179"/>
      <c r="Q20" s="1179"/>
      <c r="R20" s="1179"/>
      <c r="S20" s="1179"/>
      <c r="T20" s="1179"/>
      <c r="U20" s="1179"/>
      <c r="V20" s="1179"/>
      <c r="W20" s="1179"/>
      <c r="X20" s="1179"/>
      <c r="Y20" s="1179"/>
      <c r="Z20" s="1183"/>
    </row>
    <row r="21" spans="1:26" s="1177" customFormat="1" ht="20.25" x14ac:dyDescent="0.3">
      <c r="B21" s="1181"/>
      <c r="C21" s="1181"/>
      <c r="D21" s="1181"/>
      <c r="E21" s="1181"/>
      <c r="F21" s="1182"/>
      <c r="G21" s="1181"/>
      <c r="H21" s="1181"/>
      <c r="I21" s="1183"/>
      <c r="J21" s="1183"/>
      <c r="K21" s="1183"/>
      <c r="L21" s="1183"/>
      <c r="M21" s="1183"/>
      <c r="N21" s="1183"/>
      <c r="O21" s="1183"/>
      <c r="P21" s="1179"/>
      <c r="Q21" s="1179"/>
      <c r="R21" s="1179"/>
      <c r="S21" s="1179"/>
      <c r="T21" s="1179"/>
      <c r="U21" s="1179"/>
      <c r="V21" s="1179"/>
      <c r="W21" s="1179"/>
      <c r="X21" s="1179"/>
      <c r="Y21" s="1179"/>
      <c r="Z21" s="1183"/>
    </row>
    <row r="22" spans="1:26" s="1177" customFormat="1" ht="20.25" x14ac:dyDescent="0.3">
      <c r="B22" s="1181"/>
      <c r="C22" s="1181"/>
      <c r="D22" s="1181"/>
      <c r="E22" s="1181"/>
      <c r="F22" s="1182"/>
      <c r="G22" s="1181"/>
      <c r="H22" s="1181"/>
      <c r="I22" s="1183"/>
      <c r="J22" s="1183"/>
      <c r="K22" s="1183"/>
      <c r="L22" s="1183"/>
      <c r="M22" s="1183"/>
      <c r="N22" s="1183"/>
      <c r="O22" s="1183"/>
      <c r="P22" s="1179"/>
      <c r="Q22" s="1179"/>
      <c r="R22" s="1179"/>
      <c r="S22" s="1179"/>
      <c r="T22" s="1179"/>
      <c r="U22" s="1179"/>
      <c r="V22" s="1179"/>
      <c r="W22" s="1179"/>
      <c r="X22" s="1179"/>
      <c r="Y22" s="1179"/>
      <c r="Z22" s="1183"/>
    </row>
    <row r="23" spans="1:26" s="1177" customFormat="1" ht="20.25" x14ac:dyDescent="0.3">
      <c r="B23" s="1181"/>
      <c r="C23" s="1181"/>
      <c r="D23" s="1181"/>
      <c r="E23" s="1181"/>
      <c r="F23" s="1182"/>
      <c r="G23" s="1181"/>
      <c r="H23" s="1181"/>
      <c r="I23" s="1183"/>
      <c r="J23" s="1183"/>
      <c r="K23" s="1183"/>
      <c r="L23" s="1183"/>
      <c r="M23" s="1183"/>
      <c r="N23" s="1183"/>
      <c r="O23" s="1183"/>
      <c r="P23" s="1179"/>
      <c r="Q23" s="1179"/>
      <c r="R23" s="1179"/>
      <c r="S23" s="1179"/>
      <c r="T23" s="1179"/>
      <c r="U23" s="1179"/>
      <c r="V23" s="1179"/>
      <c r="W23" s="1179"/>
      <c r="X23" s="1179"/>
      <c r="Y23" s="1179"/>
      <c r="Z23" s="1183"/>
    </row>
    <row r="24" spans="1:26" s="1177" customFormat="1" ht="20.25" x14ac:dyDescent="0.3">
      <c r="B24" s="1181"/>
      <c r="C24" s="1181"/>
      <c r="D24" s="1181"/>
      <c r="E24" s="1181"/>
      <c r="F24" s="1182"/>
      <c r="G24" s="1181"/>
      <c r="H24" s="1181"/>
      <c r="I24" s="1183"/>
      <c r="J24" s="1183"/>
      <c r="K24" s="1183"/>
      <c r="L24" s="1183"/>
      <c r="M24" s="1183"/>
      <c r="N24" s="1183"/>
      <c r="O24" s="1183"/>
      <c r="P24" s="1179"/>
      <c r="Q24" s="1179"/>
      <c r="R24" s="1179"/>
      <c r="S24" s="1179"/>
      <c r="T24" s="1179"/>
      <c r="U24" s="1179"/>
      <c r="V24" s="1179"/>
      <c r="W24" s="1179"/>
      <c r="X24" s="1179"/>
      <c r="Y24" s="1179"/>
      <c r="Z24" s="1183"/>
    </row>
    <row r="25" spans="1:26" s="1177" customFormat="1" ht="20.25" x14ac:dyDescent="0.3">
      <c r="B25" s="1181"/>
      <c r="C25" s="1181"/>
      <c r="D25" s="1181"/>
      <c r="E25" s="1181"/>
      <c r="F25" s="1182"/>
      <c r="G25" s="1181"/>
      <c r="H25" s="1181"/>
      <c r="I25" s="1183"/>
      <c r="J25" s="1183"/>
      <c r="K25" s="1183"/>
      <c r="L25" s="1183"/>
      <c r="M25" s="1183"/>
      <c r="N25" s="1183"/>
      <c r="O25" s="1183"/>
      <c r="P25" s="1179"/>
      <c r="Q25" s="1179"/>
      <c r="R25" s="1179"/>
      <c r="S25" s="1179"/>
      <c r="T25" s="1179"/>
      <c r="U25" s="1179"/>
      <c r="V25" s="1179"/>
      <c r="W25" s="1179"/>
      <c r="X25" s="1179"/>
      <c r="Y25" s="1179"/>
      <c r="Z25" s="1183"/>
    </row>
    <row r="26" spans="1:26" s="1177" customFormat="1" ht="20.25" x14ac:dyDescent="0.3">
      <c r="B26" s="1181"/>
      <c r="C26" s="1181"/>
      <c r="D26" s="1181"/>
      <c r="E26" s="1181"/>
      <c r="F26" s="1182"/>
      <c r="G26" s="1181"/>
      <c r="H26" s="1181"/>
      <c r="I26" s="1183"/>
      <c r="J26" s="1183"/>
      <c r="K26" s="1183"/>
      <c r="L26" s="1183"/>
      <c r="M26" s="1183"/>
      <c r="N26" s="1183"/>
      <c r="O26" s="1183"/>
      <c r="P26" s="1179"/>
      <c r="Q26" s="1179"/>
      <c r="R26" s="1179"/>
      <c r="S26" s="1179"/>
      <c r="T26" s="1179"/>
      <c r="U26" s="1179"/>
      <c r="V26" s="1179"/>
      <c r="W26" s="1179"/>
      <c r="X26" s="1179"/>
      <c r="Y26" s="1179"/>
      <c r="Z26" s="1183"/>
    </row>
    <row r="27" spans="1:26" s="1177" customFormat="1" ht="20.25" x14ac:dyDescent="0.3">
      <c r="B27" s="1181"/>
      <c r="C27" s="1181"/>
      <c r="D27" s="1181"/>
      <c r="E27" s="1181"/>
      <c r="F27" s="1182"/>
      <c r="G27" s="1181"/>
      <c r="H27" s="1181"/>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181"/>
      <c r="C28" s="1181"/>
      <c r="D28" s="1181"/>
      <c r="E28" s="1181"/>
      <c r="F28" s="1182"/>
      <c r="G28" s="1181"/>
      <c r="H28" s="1181"/>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181"/>
      <c r="C29" s="1181"/>
      <c r="D29" s="1181"/>
      <c r="E29" s="1181"/>
      <c r="F29" s="1182"/>
      <c r="G29" s="1181"/>
      <c r="H29" s="1181"/>
      <c r="I29" s="1183"/>
      <c r="J29" s="1183"/>
      <c r="K29" s="1183"/>
      <c r="L29" s="1183"/>
      <c r="M29" s="1183"/>
      <c r="N29" s="1183"/>
      <c r="O29" s="1183"/>
      <c r="P29" s="1179"/>
      <c r="Q29" s="1179"/>
      <c r="R29" s="1179"/>
      <c r="S29" s="1179"/>
      <c r="T29" s="1179"/>
      <c r="U29" s="1179"/>
      <c r="V29" s="1179"/>
      <c r="W29" s="1179"/>
      <c r="X29" s="1179"/>
      <c r="Y29" s="1179"/>
      <c r="Z29" s="1183"/>
    </row>
  </sheetData>
  <mergeCells count="27">
    <mergeCell ref="A1:H1"/>
    <mergeCell ref="A2:Y2"/>
    <mergeCell ref="A3:Y3"/>
    <mergeCell ref="S4:Y4"/>
    <mergeCell ref="A5:A7"/>
    <mergeCell ref="B5:B7"/>
    <mergeCell ref="C5:C7"/>
    <mergeCell ref="D5:D7"/>
    <mergeCell ref="E5:E7"/>
    <mergeCell ref="F5:G6"/>
    <mergeCell ref="H5:H7"/>
    <mergeCell ref="I5:I7"/>
    <mergeCell ref="J5:O5"/>
    <mergeCell ref="P5:U5"/>
    <mergeCell ref="U6:U7"/>
    <mergeCell ref="W1:Y1"/>
    <mergeCell ref="W5:W7"/>
    <mergeCell ref="X5:X7"/>
    <mergeCell ref="Y5:Y7"/>
    <mergeCell ref="J6:J7"/>
    <mergeCell ref="K6:M6"/>
    <mergeCell ref="N6:N7"/>
    <mergeCell ref="O6:O7"/>
    <mergeCell ref="P6:P7"/>
    <mergeCell ref="Q6:S6"/>
    <mergeCell ref="T6:T7"/>
    <mergeCell ref="V5:V7"/>
  </mergeCells>
  <printOptions horizontalCentered="1"/>
  <pageMargins left="0.24" right="0.16" top="0.47" bottom="0.35" header="0.3" footer="0.3"/>
  <pageSetup paperSize="9" scale="55" orientation="landscape"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9"/>
  <sheetViews>
    <sheetView topLeftCell="A28" workbookViewId="0">
      <selection activeCell="L35" sqref="L35"/>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4.28515625" style="1280" customWidth="1"/>
    <col min="7" max="7" width="11.28515625" style="1280" customWidth="1"/>
    <col min="8" max="8" width="12.140625" style="1280" customWidth="1"/>
    <col min="9" max="10" width="12.7109375" style="1280" customWidth="1"/>
    <col min="11" max="11" width="13.140625" style="1280" customWidth="1"/>
    <col min="12" max="12" width="13.710937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652</v>
      </c>
      <c r="B1" s="1801"/>
      <c r="C1" s="1801"/>
      <c r="D1" s="1801"/>
      <c r="E1" s="1801"/>
      <c r="F1" s="1801"/>
      <c r="G1" s="1801"/>
      <c r="H1" s="1801"/>
      <c r="I1" s="1184"/>
      <c r="J1" s="1184"/>
      <c r="K1" s="1184"/>
      <c r="L1" s="1184"/>
      <c r="M1" s="1184"/>
      <c r="N1" s="1184"/>
      <c r="O1" s="1184"/>
      <c r="P1" s="1184"/>
      <c r="Q1" s="1184"/>
      <c r="R1" s="1961" t="s">
        <v>656</v>
      </c>
      <c r="S1" s="1961"/>
      <c r="T1" s="1961"/>
      <c r="U1" s="1961"/>
      <c r="V1" s="1961"/>
      <c r="W1" s="1961"/>
      <c r="X1" s="1961"/>
      <c r="Y1" s="1961"/>
    </row>
    <row r="2" spans="1:27" s="350" customFormat="1" ht="18.75" x14ac:dyDescent="0.3">
      <c r="A2" s="1962" t="s">
        <v>697</v>
      </c>
      <c r="B2" s="1962"/>
      <c r="C2" s="1962"/>
      <c r="D2" s="1962"/>
      <c r="E2" s="1962"/>
      <c r="F2" s="1962"/>
      <c r="G2" s="1962"/>
      <c r="H2" s="1962"/>
      <c r="I2" s="1962"/>
      <c r="J2" s="1962"/>
      <c r="K2" s="1962"/>
      <c r="L2" s="1962"/>
      <c r="M2" s="1962"/>
      <c r="N2" s="1962"/>
      <c r="O2" s="1962"/>
      <c r="P2" s="1962"/>
      <c r="Q2" s="1962"/>
      <c r="R2" s="1962"/>
      <c r="S2" s="1962"/>
      <c r="T2" s="1962"/>
      <c r="U2" s="1962"/>
      <c r="V2" s="1962"/>
      <c r="W2" s="1962"/>
      <c r="X2" s="1962"/>
      <c r="Y2" s="1962"/>
    </row>
    <row r="3" spans="1:27" s="350" customFormat="1" ht="18.75" x14ac:dyDescent="0.3">
      <c r="A3" s="1963"/>
      <c r="B3" s="1963"/>
      <c r="C3" s="1963"/>
      <c r="D3" s="1963"/>
      <c r="E3" s="1963"/>
      <c r="F3" s="1963"/>
      <c r="G3" s="1963"/>
      <c r="H3" s="1963"/>
      <c r="I3" s="1963"/>
      <c r="J3" s="1963"/>
      <c r="K3" s="1963"/>
      <c r="L3" s="1963"/>
      <c r="M3" s="1963"/>
      <c r="N3" s="1963"/>
      <c r="O3" s="1963"/>
      <c r="P3" s="1963"/>
      <c r="Q3" s="1963"/>
      <c r="R3" s="1963"/>
      <c r="S3" s="1963"/>
      <c r="T3" s="1963"/>
      <c r="U3" s="1963"/>
      <c r="V3" s="1963"/>
      <c r="W3" s="1963"/>
      <c r="X3" s="1963"/>
      <c r="Y3" s="1963"/>
    </row>
    <row r="4" spans="1:27" s="350" customFormat="1" x14ac:dyDescent="0.25">
      <c r="A4" s="780"/>
      <c r="B4" s="780"/>
      <c r="C4" s="780"/>
      <c r="D4" s="780"/>
      <c r="E4" s="1185"/>
      <c r="F4" s="780"/>
      <c r="G4" s="780"/>
      <c r="H4" s="780"/>
      <c r="I4" s="1185"/>
      <c r="J4" s="1186"/>
      <c r="K4" s="1185"/>
      <c r="L4" s="1185"/>
      <c r="M4" s="780"/>
      <c r="N4" s="780"/>
      <c r="O4" s="780"/>
      <c r="P4" s="1185"/>
      <c r="Q4" s="1187"/>
      <c r="R4" s="1187"/>
      <c r="S4" s="1281"/>
      <c r="T4" s="1282"/>
      <c r="U4" s="1283"/>
      <c r="V4" s="1283"/>
      <c r="W4" s="1283"/>
      <c r="X4" s="1283"/>
      <c r="Y4" s="1283"/>
    </row>
    <row r="5" spans="1:27" s="350" customFormat="1" ht="31.5" customHeight="1" x14ac:dyDescent="0.25">
      <c r="A5" s="1957" t="s">
        <v>659</v>
      </c>
      <c r="B5" s="1957" t="s">
        <v>2</v>
      </c>
      <c r="C5" s="1964" t="s">
        <v>660</v>
      </c>
      <c r="D5" s="1967" t="s">
        <v>661</v>
      </c>
      <c r="E5" s="1957" t="s">
        <v>662</v>
      </c>
      <c r="F5" s="1957" t="s">
        <v>663</v>
      </c>
      <c r="G5" s="1957"/>
      <c r="H5" s="1957" t="s">
        <v>664</v>
      </c>
      <c r="I5" s="1957" t="s">
        <v>665</v>
      </c>
      <c r="J5" s="1957" t="s">
        <v>666</v>
      </c>
      <c r="K5" s="1957"/>
      <c r="L5" s="1957"/>
      <c r="M5" s="1957"/>
      <c r="N5" s="1957"/>
      <c r="O5" s="1957"/>
      <c r="P5" s="1957" t="s">
        <v>667</v>
      </c>
      <c r="Q5" s="1957"/>
      <c r="R5" s="1957"/>
      <c r="S5" s="1957"/>
      <c r="T5" s="1957"/>
      <c r="U5" s="1957"/>
      <c r="V5" s="1944" t="s">
        <v>668</v>
      </c>
      <c r="W5" s="1957" t="s">
        <v>669</v>
      </c>
      <c r="X5" s="1957" t="s">
        <v>670</v>
      </c>
      <c r="Y5" s="1957" t="s">
        <v>671</v>
      </c>
    </row>
    <row r="6" spans="1:27" s="350" customFormat="1" x14ac:dyDescent="0.25">
      <c r="A6" s="1957"/>
      <c r="B6" s="1957"/>
      <c r="C6" s="1965"/>
      <c r="D6" s="1967"/>
      <c r="E6" s="1957"/>
      <c r="F6" s="1957"/>
      <c r="G6" s="1957"/>
      <c r="H6" s="1957"/>
      <c r="I6" s="1957"/>
      <c r="J6" s="1957" t="s">
        <v>672</v>
      </c>
      <c r="K6" s="1957" t="s">
        <v>673</v>
      </c>
      <c r="L6" s="1957"/>
      <c r="M6" s="1957"/>
      <c r="N6" s="1957" t="s">
        <v>674</v>
      </c>
      <c r="O6" s="1957" t="s">
        <v>675</v>
      </c>
      <c r="P6" s="1957" t="s">
        <v>676</v>
      </c>
      <c r="Q6" s="1957" t="s">
        <v>673</v>
      </c>
      <c r="R6" s="1957"/>
      <c r="S6" s="1957"/>
      <c r="T6" s="1957" t="s">
        <v>677</v>
      </c>
      <c r="U6" s="1957" t="s">
        <v>675</v>
      </c>
      <c r="V6" s="1945"/>
      <c r="W6" s="1957"/>
      <c r="X6" s="1957"/>
      <c r="Y6" s="1957"/>
    </row>
    <row r="7" spans="1:27" s="350" customFormat="1" ht="127.5" customHeight="1" x14ac:dyDescent="0.25">
      <c r="A7" s="1957"/>
      <c r="B7" s="1957"/>
      <c r="C7" s="1966"/>
      <c r="D7" s="1967"/>
      <c r="E7" s="1957"/>
      <c r="F7" s="1666" t="s">
        <v>15</v>
      </c>
      <c r="G7" s="1666" t="s">
        <v>678</v>
      </c>
      <c r="H7" s="1957"/>
      <c r="I7" s="1957"/>
      <c r="J7" s="1957"/>
      <c r="K7" s="1666" t="s">
        <v>15</v>
      </c>
      <c r="L7" s="1666" t="s">
        <v>679</v>
      </c>
      <c r="M7" s="1666" t="s">
        <v>680</v>
      </c>
      <c r="N7" s="1957"/>
      <c r="O7" s="1957"/>
      <c r="P7" s="1957"/>
      <c r="Q7" s="1666" t="s">
        <v>15</v>
      </c>
      <c r="R7" s="1666" t="s">
        <v>679</v>
      </c>
      <c r="S7" s="1666" t="s">
        <v>680</v>
      </c>
      <c r="T7" s="1957"/>
      <c r="U7" s="1957"/>
      <c r="V7" s="1946"/>
      <c r="W7" s="1957"/>
      <c r="X7" s="1957"/>
      <c r="Y7" s="1957"/>
    </row>
    <row r="8" spans="1:27" s="1190" customFormat="1" ht="19.5" customHeight="1" x14ac:dyDescent="0.15">
      <c r="A8" s="1134">
        <v>1</v>
      </c>
      <c r="B8" s="1134">
        <v>2</v>
      </c>
      <c r="C8" s="1134">
        <v>3</v>
      </c>
      <c r="D8" s="1134">
        <v>4</v>
      </c>
      <c r="E8" s="1134">
        <v>5</v>
      </c>
      <c r="F8" s="1134">
        <v>6</v>
      </c>
      <c r="G8" s="1134">
        <v>7</v>
      </c>
      <c r="H8" s="1134">
        <v>8</v>
      </c>
      <c r="I8" s="1134">
        <v>9</v>
      </c>
      <c r="J8" s="1188">
        <v>10</v>
      </c>
      <c r="K8" s="1134" t="s">
        <v>44</v>
      </c>
      <c r="L8" s="1134">
        <v>12</v>
      </c>
      <c r="M8" s="1134">
        <v>13</v>
      </c>
      <c r="N8" s="1134">
        <v>14</v>
      </c>
      <c r="O8" s="1134" t="s">
        <v>681</v>
      </c>
      <c r="P8" s="1134">
        <v>16</v>
      </c>
      <c r="Q8" s="1134" t="s">
        <v>682</v>
      </c>
      <c r="R8" s="1134">
        <v>18</v>
      </c>
      <c r="S8" s="1134">
        <v>19</v>
      </c>
      <c r="T8" s="1134">
        <v>20</v>
      </c>
      <c r="U8" s="1134" t="s">
        <v>683</v>
      </c>
      <c r="V8" s="1134">
        <v>22</v>
      </c>
      <c r="W8" s="1137" t="s">
        <v>684</v>
      </c>
      <c r="X8" s="1137" t="s">
        <v>685</v>
      </c>
      <c r="Y8" s="1137" t="s">
        <v>698</v>
      </c>
      <c r="Z8" s="1189"/>
    </row>
    <row r="9" spans="1:27" s="350" customFormat="1" ht="25.5" customHeight="1" x14ac:dyDescent="0.25">
      <c r="A9" s="1667"/>
      <c r="B9" s="1667" t="s">
        <v>699</v>
      </c>
      <c r="C9" s="1667"/>
      <c r="D9" s="1667"/>
      <c r="E9" s="1191">
        <f t="shared" ref="E9:U9" si="0">E15+E31+E39</f>
        <v>140319872294</v>
      </c>
      <c r="F9" s="1191">
        <f t="shared" si="0"/>
        <v>58284540375</v>
      </c>
      <c r="G9" s="1191">
        <f t="shared" si="0"/>
        <v>503470316</v>
      </c>
      <c r="H9" s="1191">
        <f t="shared" si="0"/>
        <v>79530000</v>
      </c>
      <c r="I9" s="1191">
        <f t="shared" si="0"/>
        <v>423940316</v>
      </c>
      <c r="J9" s="1191">
        <f t="shared" si="0"/>
        <v>1356146400</v>
      </c>
      <c r="K9" s="1191">
        <f t="shared" si="0"/>
        <v>1343111295</v>
      </c>
      <c r="L9" s="1191">
        <f t="shared" si="0"/>
        <v>1343111295</v>
      </c>
      <c r="M9" s="1191">
        <f t="shared" si="0"/>
        <v>0</v>
      </c>
      <c r="N9" s="1191">
        <f t="shared" si="0"/>
        <v>0</v>
      </c>
      <c r="O9" s="1191">
        <f t="shared" si="0"/>
        <v>13035105</v>
      </c>
      <c r="P9" s="1191">
        <f t="shared" si="0"/>
        <v>13206200000</v>
      </c>
      <c r="Q9" s="1191">
        <f t="shared" si="0"/>
        <v>13142960977</v>
      </c>
      <c r="R9" s="1191">
        <f t="shared" si="0"/>
        <v>13142960977</v>
      </c>
      <c r="S9" s="1191">
        <f t="shared" si="0"/>
        <v>0</v>
      </c>
      <c r="T9" s="1191">
        <f t="shared" si="0"/>
        <v>30587731</v>
      </c>
      <c r="U9" s="1191">
        <f t="shared" si="0"/>
        <v>32651292</v>
      </c>
      <c r="V9" s="1191"/>
      <c r="W9" s="1191">
        <f>W15+W31+W39</f>
        <v>14910012588</v>
      </c>
      <c r="X9" s="1191">
        <f>X15+X31+X39</f>
        <v>0</v>
      </c>
      <c r="Y9" s="1191">
        <f>Y15+Y31+Y39</f>
        <v>72691082647</v>
      </c>
      <c r="Z9" s="1192"/>
      <c r="AA9" s="1192"/>
    </row>
    <row r="10" spans="1:27" s="1196" customFormat="1" ht="22.5" customHeight="1" x14ac:dyDescent="0.25">
      <c r="A10" s="1193" t="s">
        <v>688</v>
      </c>
      <c r="B10" s="1194" t="s">
        <v>54</v>
      </c>
      <c r="C10" s="1194"/>
      <c r="D10" s="1195"/>
      <c r="E10" s="1147"/>
      <c r="F10" s="1147"/>
      <c r="G10" s="1147"/>
      <c r="H10" s="1147"/>
      <c r="I10" s="1147"/>
      <c r="J10" s="1147"/>
      <c r="K10" s="1147"/>
      <c r="L10" s="1147"/>
      <c r="M10" s="1147"/>
      <c r="N10" s="1147"/>
      <c r="O10" s="1147"/>
      <c r="P10" s="1147"/>
      <c r="Q10" s="1147"/>
      <c r="R10" s="1147"/>
      <c r="S10" s="1147"/>
      <c r="T10" s="1147"/>
      <c r="U10" s="1147"/>
      <c r="V10" s="1147"/>
      <c r="W10" s="1147"/>
      <c r="X10" s="1147"/>
      <c r="Y10" s="1147"/>
    </row>
    <row r="11" spans="1:27" s="1196" customFormat="1" ht="27.75" customHeight="1" x14ac:dyDescent="0.25">
      <c r="A11" s="1193"/>
      <c r="B11" s="1197" t="s">
        <v>689</v>
      </c>
      <c r="C11" s="1197"/>
      <c r="D11" s="1195"/>
      <c r="E11" s="1151"/>
      <c r="F11" s="1151"/>
      <c r="G11" s="1151"/>
      <c r="H11" s="1151"/>
      <c r="I11" s="1151"/>
      <c r="J11" s="1151"/>
      <c r="K11" s="1151"/>
      <c r="L11" s="1151"/>
      <c r="M11" s="1151"/>
      <c r="N11" s="1151"/>
      <c r="O11" s="1151"/>
      <c r="P11" s="1151"/>
      <c r="Q11" s="1151"/>
      <c r="R11" s="1151"/>
      <c r="S11" s="1151"/>
      <c r="T11" s="1151"/>
      <c r="U11" s="1151"/>
      <c r="V11" s="1151"/>
      <c r="W11" s="1151"/>
      <c r="X11" s="1151"/>
      <c r="Y11" s="1151"/>
    </row>
    <row r="12" spans="1:27" s="1196" customFormat="1" ht="27.75" customHeight="1" x14ac:dyDescent="0.25">
      <c r="A12" s="1193"/>
      <c r="B12" s="1197" t="s">
        <v>690</v>
      </c>
      <c r="C12" s="1197"/>
      <c r="D12" s="1195"/>
      <c r="E12" s="1151">
        <f t="shared" ref="E12:U12" si="1">E15+E31+E39</f>
        <v>140319872294</v>
      </c>
      <c r="F12" s="1151">
        <f t="shared" si="1"/>
        <v>58284540375</v>
      </c>
      <c r="G12" s="1151">
        <f t="shared" si="1"/>
        <v>503470316</v>
      </c>
      <c r="H12" s="1151">
        <f t="shared" si="1"/>
        <v>79530000</v>
      </c>
      <c r="I12" s="1151">
        <f t="shared" si="1"/>
        <v>423940316</v>
      </c>
      <c r="J12" s="1151">
        <f t="shared" si="1"/>
        <v>1356146400</v>
      </c>
      <c r="K12" s="1151">
        <f t="shared" si="1"/>
        <v>1343111295</v>
      </c>
      <c r="L12" s="1151">
        <f t="shared" si="1"/>
        <v>1343111295</v>
      </c>
      <c r="M12" s="1151">
        <f t="shared" si="1"/>
        <v>0</v>
      </c>
      <c r="N12" s="1151">
        <f t="shared" si="1"/>
        <v>0</v>
      </c>
      <c r="O12" s="1151">
        <f t="shared" si="1"/>
        <v>13035105</v>
      </c>
      <c r="P12" s="1151">
        <f t="shared" si="1"/>
        <v>13206200000</v>
      </c>
      <c r="Q12" s="1151">
        <f t="shared" si="1"/>
        <v>13142960977</v>
      </c>
      <c r="R12" s="1151">
        <f t="shared" si="1"/>
        <v>13142960977</v>
      </c>
      <c r="S12" s="1151">
        <f t="shared" si="1"/>
        <v>0</v>
      </c>
      <c r="T12" s="1151">
        <f t="shared" si="1"/>
        <v>30587731</v>
      </c>
      <c r="U12" s="1151">
        <f t="shared" si="1"/>
        <v>32651292</v>
      </c>
      <c r="V12" s="1151"/>
      <c r="W12" s="1151">
        <f>W15+W31+W39</f>
        <v>14910012588</v>
      </c>
      <c r="X12" s="1151">
        <f>X15+X31+X39</f>
        <v>0</v>
      </c>
      <c r="Y12" s="1151">
        <f>Y15+Y31+Y39</f>
        <v>72691082647</v>
      </c>
    </row>
    <row r="13" spans="1:27" s="1201" customFormat="1" ht="31.5" customHeight="1" x14ac:dyDescent="0.25">
      <c r="A13" s="1198">
        <v>1</v>
      </c>
      <c r="B13" s="1199" t="s">
        <v>700</v>
      </c>
      <c r="C13" s="1199"/>
      <c r="D13" s="1200"/>
      <c r="E13" s="1147">
        <f>E17+E22</f>
        <v>30492531634</v>
      </c>
      <c r="F13" s="1147">
        <f t="shared" ref="F13:Y13" si="2">F17+F22</f>
        <v>1150000000</v>
      </c>
      <c r="G13" s="1147">
        <f t="shared" si="2"/>
        <v>0</v>
      </c>
      <c r="H13" s="1147">
        <f t="shared" si="2"/>
        <v>0</v>
      </c>
      <c r="I13" s="1147">
        <f t="shared" si="2"/>
        <v>0</v>
      </c>
      <c r="J13" s="1147">
        <f t="shared" si="2"/>
        <v>0</v>
      </c>
      <c r="K13" s="1147">
        <f t="shared" si="2"/>
        <v>0</v>
      </c>
      <c r="L13" s="1147">
        <f t="shared" si="2"/>
        <v>0</v>
      </c>
      <c r="M13" s="1147">
        <f t="shared" si="2"/>
        <v>0</v>
      </c>
      <c r="N13" s="1147">
        <f t="shared" si="2"/>
        <v>0</v>
      </c>
      <c r="O13" s="1147">
        <f t="shared" si="2"/>
        <v>0</v>
      </c>
      <c r="P13" s="1147">
        <f t="shared" si="2"/>
        <v>11804000000</v>
      </c>
      <c r="Q13" s="1147">
        <f t="shared" si="2"/>
        <v>11740943977</v>
      </c>
      <c r="R13" s="1147">
        <f t="shared" si="2"/>
        <v>11740943977</v>
      </c>
      <c r="S13" s="1147">
        <f t="shared" si="2"/>
        <v>0</v>
      </c>
      <c r="T13" s="1147">
        <f t="shared" si="2"/>
        <v>30587731</v>
      </c>
      <c r="U13" s="1147">
        <f t="shared" si="2"/>
        <v>32468292</v>
      </c>
      <c r="V13" s="1147"/>
      <c r="W13" s="1147">
        <f t="shared" si="2"/>
        <v>11740943977</v>
      </c>
      <c r="X13" s="1147">
        <f t="shared" si="2"/>
        <v>0</v>
      </c>
      <c r="Y13" s="1147">
        <f t="shared" si="2"/>
        <v>12890943977</v>
      </c>
    </row>
    <row r="14" spans="1:27" s="1201" customFormat="1" ht="31.5" customHeight="1" x14ac:dyDescent="0.25">
      <c r="A14" s="1198">
        <v>2</v>
      </c>
      <c r="B14" s="1199" t="s">
        <v>701</v>
      </c>
      <c r="C14" s="1199"/>
      <c r="D14" s="1200"/>
      <c r="E14" s="1147">
        <f>E25+E28+E33+E36+E41+E44</f>
        <v>109827340660</v>
      </c>
      <c r="F14" s="1147">
        <f t="shared" ref="F14:Y14" si="3">F25+F28+F33+F36+F41+F44</f>
        <v>57134540375</v>
      </c>
      <c r="G14" s="1147">
        <f t="shared" si="3"/>
        <v>503470316</v>
      </c>
      <c r="H14" s="1147">
        <f t="shared" si="3"/>
        <v>79530000</v>
      </c>
      <c r="I14" s="1147">
        <f t="shared" si="3"/>
        <v>423940316</v>
      </c>
      <c r="J14" s="1147">
        <f t="shared" si="3"/>
        <v>1356146400</v>
      </c>
      <c r="K14" s="1147">
        <f t="shared" si="3"/>
        <v>1343111295</v>
      </c>
      <c r="L14" s="1147">
        <f t="shared" si="3"/>
        <v>1343111295</v>
      </c>
      <c r="M14" s="1147">
        <f t="shared" si="3"/>
        <v>0</v>
      </c>
      <c r="N14" s="1147">
        <f t="shared" si="3"/>
        <v>0</v>
      </c>
      <c r="O14" s="1147">
        <f t="shared" si="3"/>
        <v>13035105</v>
      </c>
      <c r="P14" s="1147">
        <f t="shared" si="3"/>
        <v>1402200000</v>
      </c>
      <c r="Q14" s="1147">
        <f t="shared" si="3"/>
        <v>1402017000</v>
      </c>
      <c r="R14" s="1147">
        <f t="shared" si="3"/>
        <v>1402017000</v>
      </c>
      <c r="S14" s="1147">
        <f t="shared" si="3"/>
        <v>0</v>
      </c>
      <c r="T14" s="1147">
        <f t="shared" si="3"/>
        <v>0</v>
      </c>
      <c r="U14" s="1147">
        <f t="shared" si="3"/>
        <v>183000</v>
      </c>
      <c r="V14" s="1147">
        <f t="shared" si="3"/>
        <v>0</v>
      </c>
      <c r="W14" s="1147">
        <f t="shared" si="3"/>
        <v>3169068611</v>
      </c>
      <c r="X14" s="1147">
        <f t="shared" si="3"/>
        <v>0</v>
      </c>
      <c r="Y14" s="1147">
        <f t="shared" si="3"/>
        <v>59800138670</v>
      </c>
    </row>
    <row r="15" spans="1:27" s="350" customFormat="1" ht="30" customHeight="1" x14ac:dyDescent="0.25">
      <c r="A15" s="1202" t="s">
        <v>4</v>
      </c>
      <c r="B15" s="1203" t="s">
        <v>692</v>
      </c>
      <c r="C15" s="1204"/>
      <c r="D15" s="1202"/>
      <c r="E15" s="1205">
        <f>E16+E21+E27</f>
        <v>40359760154</v>
      </c>
      <c r="F15" s="1205">
        <f t="shared" ref="F15:Y15" si="4">F16+F21+F27</f>
        <v>6700000000</v>
      </c>
      <c r="G15" s="1205">
        <f t="shared" si="4"/>
        <v>0</v>
      </c>
      <c r="H15" s="1205">
        <f t="shared" si="4"/>
        <v>0</v>
      </c>
      <c r="I15" s="1205">
        <f t="shared" si="4"/>
        <v>0</v>
      </c>
      <c r="J15" s="1205">
        <f t="shared" si="4"/>
        <v>588000000</v>
      </c>
      <c r="K15" s="1205">
        <f t="shared" si="4"/>
        <v>588000000</v>
      </c>
      <c r="L15" s="1205">
        <f t="shared" si="4"/>
        <v>588000000</v>
      </c>
      <c r="M15" s="1205">
        <f t="shared" si="4"/>
        <v>0</v>
      </c>
      <c r="N15" s="1205">
        <f t="shared" si="4"/>
        <v>0</v>
      </c>
      <c r="O15" s="1205">
        <f t="shared" si="4"/>
        <v>0</v>
      </c>
      <c r="P15" s="1205">
        <f t="shared" si="4"/>
        <v>13206200000</v>
      </c>
      <c r="Q15" s="1205">
        <f t="shared" si="4"/>
        <v>13142960977</v>
      </c>
      <c r="R15" s="1205">
        <f t="shared" si="4"/>
        <v>13142960977</v>
      </c>
      <c r="S15" s="1205">
        <f t="shared" si="4"/>
        <v>0</v>
      </c>
      <c r="T15" s="1205">
        <f t="shared" si="4"/>
        <v>30587731</v>
      </c>
      <c r="U15" s="1205">
        <f t="shared" si="4"/>
        <v>32651292</v>
      </c>
      <c r="V15" s="1205">
        <f t="shared" si="4"/>
        <v>0</v>
      </c>
      <c r="W15" s="1205">
        <f t="shared" si="4"/>
        <v>13730960977</v>
      </c>
      <c r="X15" s="1205">
        <f t="shared" si="4"/>
        <v>0</v>
      </c>
      <c r="Y15" s="1205">
        <f t="shared" si="4"/>
        <v>20430960977</v>
      </c>
      <c r="Z15" s="1192"/>
    </row>
    <row r="16" spans="1:27" s="350" customFormat="1" ht="28.15" customHeight="1" x14ac:dyDescent="0.25">
      <c r="A16" s="1667" t="s">
        <v>6</v>
      </c>
      <c r="B16" s="1206" t="s">
        <v>654</v>
      </c>
      <c r="C16" s="1206"/>
      <c r="D16" s="1207"/>
      <c r="E16" s="1208">
        <f>E17</f>
        <v>22657265817</v>
      </c>
      <c r="F16" s="1208">
        <f t="shared" ref="F16:Y16" si="5">F17</f>
        <v>0</v>
      </c>
      <c r="G16" s="1208">
        <f t="shared" si="5"/>
        <v>0</v>
      </c>
      <c r="H16" s="1208">
        <f t="shared" si="5"/>
        <v>0</v>
      </c>
      <c r="I16" s="1208">
        <f t="shared" si="5"/>
        <v>0</v>
      </c>
      <c r="J16" s="1208">
        <f t="shared" si="5"/>
        <v>0</v>
      </c>
      <c r="K16" s="1208">
        <f t="shared" si="5"/>
        <v>0</v>
      </c>
      <c r="L16" s="1208">
        <f t="shared" si="5"/>
        <v>0</v>
      </c>
      <c r="M16" s="1208">
        <f t="shared" si="5"/>
        <v>0</v>
      </c>
      <c r="N16" s="1208">
        <f t="shared" si="5"/>
        <v>0</v>
      </c>
      <c r="O16" s="1208">
        <f t="shared" si="5"/>
        <v>0</v>
      </c>
      <c r="P16" s="1208">
        <f>P17</f>
        <v>8203000000</v>
      </c>
      <c r="Q16" s="1208">
        <f t="shared" si="5"/>
        <v>8170875500</v>
      </c>
      <c r="R16" s="1208">
        <f t="shared" si="5"/>
        <v>8170875500</v>
      </c>
      <c r="S16" s="1208">
        <f t="shared" si="5"/>
        <v>0</v>
      </c>
      <c r="T16" s="1208">
        <f t="shared" si="5"/>
        <v>0</v>
      </c>
      <c r="U16" s="1208">
        <f t="shared" si="5"/>
        <v>32124500</v>
      </c>
      <c r="V16" s="1208"/>
      <c r="W16" s="1208">
        <f t="shared" si="5"/>
        <v>8170875500</v>
      </c>
      <c r="X16" s="1208">
        <f t="shared" si="5"/>
        <v>0</v>
      </c>
      <c r="Y16" s="1208">
        <f t="shared" si="5"/>
        <v>8170875500</v>
      </c>
    </row>
    <row r="17" spans="1:26" s="350" customFormat="1" ht="34.5" customHeight="1" x14ac:dyDescent="0.25">
      <c r="A17" s="1209"/>
      <c r="B17" s="1210" t="s">
        <v>691</v>
      </c>
      <c r="C17" s="1211"/>
      <c r="D17" s="1212"/>
      <c r="E17" s="1213">
        <f t="shared" ref="E17:O17" si="6">SUM(E18:E20)</f>
        <v>22657265817</v>
      </c>
      <c r="F17" s="1213">
        <f t="shared" si="6"/>
        <v>0</v>
      </c>
      <c r="G17" s="1213">
        <f t="shared" si="6"/>
        <v>0</v>
      </c>
      <c r="H17" s="1213">
        <f t="shared" si="6"/>
        <v>0</v>
      </c>
      <c r="I17" s="1213">
        <f t="shared" si="6"/>
        <v>0</v>
      </c>
      <c r="J17" s="1213">
        <f t="shared" si="6"/>
        <v>0</v>
      </c>
      <c r="K17" s="1213">
        <f t="shared" si="6"/>
        <v>0</v>
      </c>
      <c r="L17" s="1213">
        <f t="shared" si="6"/>
        <v>0</v>
      </c>
      <c r="M17" s="1213">
        <f t="shared" si="6"/>
        <v>0</v>
      </c>
      <c r="N17" s="1213">
        <f t="shared" si="6"/>
        <v>0</v>
      </c>
      <c r="O17" s="1213">
        <f t="shared" si="6"/>
        <v>0</v>
      </c>
      <c r="P17" s="1213">
        <f>SUM(P18:P20)</f>
        <v>8203000000</v>
      </c>
      <c r="Q17" s="1213">
        <f t="shared" ref="Q17:Y17" si="7">SUM(Q18:Q20)</f>
        <v>8170875500</v>
      </c>
      <c r="R17" s="1213">
        <f t="shared" si="7"/>
        <v>8170875500</v>
      </c>
      <c r="S17" s="1213">
        <f t="shared" si="7"/>
        <v>0</v>
      </c>
      <c r="T17" s="1213">
        <f t="shared" si="7"/>
        <v>0</v>
      </c>
      <c r="U17" s="1213">
        <f t="shared" si="7"/>
        <v>32124500</v>
      </c>
      <c r="V17" s="1213">
        <f t="shared" si="7"/>
        <v>0</v>
      </c>
      <c r="W17" s="1213">
        <f t="shared" si="7"/>
        <v>8170875500</v>
      </c>
      <c r="X17" s="1213">
        <f t="shared" si="7"/>
        <v>0</v>
      </c>
      <c r="Y17" s="1213">
        <f t="shared" si="7"/>
        <v>8170875500</v>
      </c>
    </row>
    <row r="18" spans="1:26" s="350" customFormat="1" ht="44.25" customHeight="1" x14ac:dyDescent="0.25">
      <c r="A18" s="1214" t="s">
        <v>8</v>
      </c>
      <c r="B18" s="1215" t="s">
        <v>430</v>
      </c>
      <c r="C18" s="1216" t="s">
        <v>694</v>
      </c>
      <c r="D18" s="1216">
        <v>8073025</v>
      </c>
      <c r="E18" s="1217">
        <v>14822000000</v>
      </c>
      <c r="F18" s="1217"/>
      <c r="G18" s="1217"/>
      <c r="H18" s="1217"/>
      <c r="I18" s="1217"/>
      <c r="J18" s="1218"/>
      <c r="K18" s="1218">
        <f>L18+M18</f>
        <v>0</v>
      </c>
      <c r="L18" s="1218"/>
      <c r="M18" s="1218"/>
      <c r="N18" s="1218"/>
      <c r="O18" s="1218">
        <f>J18-K18-N18</f>
        <v>0</v>
      </c>
      <c r="P18" s="1217">
        <v>5943000000</v>
      </c>
      <c r="Q18" s="1219">
        <f>R18+S18</f>
        <v>5910875500</v>
      </c>
      <c r="R18" s="1217">
        <v>5910875500</v>
      </c>
      <c r="S18" s="1217"/>
      <c r="T18" s="1217"/>
      <c r="U18" s="1217">
        <f>P18-Q18-T18</f>
        <v>32124500</v>
      </c>
      <c r="V18" s="1217"/>
      <c r="W18" s="1217">
        <f>I18+L18+R18</f>
        <v>5910875500</v>
      </c>
      <c r="X18" s="1217">
        <f>G18-H18-I18+M18+S18</f>
        <v>0</v>
      </c>
      <c r="Y18" s="563">
        <f>F18-H18+K18+Q18-V18</f>
        <v>5910875500</v>
      </c>
      <c r="Z18" s="1192"/>
    </row>
    <row r="19" spans="1:26" s="350" customFormat="1" ht="45" customHeight="1" x14ac:dyDescent="0.25">
      <c r="A19" s="1220" t="s">
        <v>38</v>
      </c>
      <c r="B19" s="1221" t="s">
        <v>436</v>
      </c>
      <c r="C19" s="1222" t="s">
        <v>694</v>
      </c>
      <c r="D19" s="1223">
        <v>8034987</v>
      </c>
      <c r="E19" s="1172">
        <v>5115265817</v>
      </c>
      <c r="F19" s="1172"/>
      <c r="G19" s="1217"/>
      <c r="H19" s="1217"/>
      <c r="I19" s="1217"/>
      <c r="J19" s="1218"/>
      <c r="K19" s="1218">
        <f>L19+M19</f>
        <v>0</v>
      </c>
      <c r="L19" s="1218"/>
      <c r="M19" s="1218"/>
      <c r="N19" s="1218"/>
      <c r="O19" s="1218">
        <f>J19-K19-N19</f>
        <v>0</v>
      </c>
      <c r="P19" s="1217">
        <v>1500000000</v>
      </c>
      <c r="Q19" s="1219">
        <f>R19+S19</f>
        <v>1500000000</v>
      </c>
      <c r="R19" s="1217">
        <v>1500000000</v>
      </c>
      <c r="S19" s="1217"/>
      <c r="T19" s="1217"/>
      <c r="U19" s="1217">
        <f>P19-Q19-T19</f>
        <v>0</v>
      </c>
      <c r="V19" s="1217"/>
      <c r="W19" s="1217">
        <f>I19+L19+R19</f>
        <v>1500000000</v>
      </c>
      <c r="X19" s="1217">
        <f>G19-H19-I19+M19+S19</f>
        <v>0</v>
      </c>
      <c r="Y19" s="563">
        <f>F19-H19+K19+Q19-V19</f>
        <v>1500000000</v>
      </c>
    </row>
    <row r="20" spans="1:26" s="350" customFormat="1" ht="33.75" customHeight="1" x14ac:dyDescent="0.25">
      <c r="A20" s="1214" t="s">
        <v>39</v>
      </c>
      <c r="B20" s="1215" t="s">
        <v>437</v>
      </c>
      <c r="C20" s="1169" t="s">
        <v>694</v>
      </c>
      <c r="D20" s="1227">
        <v>8161499</v>
      </c>
      <c r="E20" s="1217">
        <v>2720000000</v>
      </c>
      <c r="F20" s="1217"/>
      <c r="G20" s="1217"/>
      <c r="H20" s="1217"/>
      <c r="I20" s="1217"/>
      <c r="J20" s="1218"/>
      <c r="K20" s="1218">
        <f>L20+M20</f>
        <v>0</v>
      </c>
      <c r="L20" s="1218"/>
      <c r="M20" s="1218"/>
      <c r="N20" s="1218"/>
      <c r="O20" s="1218">
        <f>J20-K20-N20</f>
        <v>0</v>
      </c>
      <c r="P20" s="1217">
        <v>760000000</v>
      </c>
      <c r="Q20" s="1219">
        <f>R20+S20</f>
        <v>760000000</v>
      </c>
      <c r="R20" s="1217">
        <v>760000000</v>
      </c>
      <c r="S20" s="1217"/>
      <c r="T20" s="1217"/>
      <c r="U20" s="1217">
        <f>P20-Q20-T20</f>
        <v>0</v>
      </c>
      <c r="V20" s="1217"/>
      <c r="W20" s="1217">
        <f>I20+L20+R20</f>
        <v>760000000</v>
      </c>
      <c r="X20" s="1217">
        <f>G20-H20-I20+M20+S20</f>
        <v>0</v>
      </c>
      <c r="Y20" s="563">
        <f>F20-H20+K20+Q20-V20</f>
        <v>760000000</v>
      </c>
    </row>
    <row r="21" spans="1:26" s="350" customFormat="1" ht="28.15" customHeight="1" x14ac:dyDescent="0.25">
      <c r="A21" s="1667" t="s">
        <v>12</v>
      </c>
      <c r="B21" s="1206" t="s">
        <v>702</v>
      </c>
      <c r="C21" s="1206"/>
      <c r="D21" s="1207"/>
      <c r="E21" s="1208">
        <f>E22+E25</f>
        <v>15185265817</v>
      </c>
      <c r="F21" s="1208">
        <f t="shared" ref="F21:Y21" si="8">F22+F25</f>
        <v>6700000000</v>
      </c>
      <c r="G21" s="1208">
        <f t="shared" si="8"/>
        <v>0</v>
      </c>
      <c r="H21" s="1208">
        <f t="shared" si="8"/>
        <v>0</v>
      </c>
      <c r="I21" s="1208">
        <f t="shared" si="8"/>
        <v>0</v>
      </c>
      <c r="J21" s="1208">
        <f t="shared" si="8"/>
        <v>0</v>
      </c>
      <c r="K21" s="1208">
        <f t="shared" si="8"/>
        <v>0</v>
      </c>
      <c r="L21" s="1208">
        <f t="shared" si="8"/>
        <v>0</v>
      </c>
      <c r="M21" s="1208">
        <f t="shared" si="8"/>
        <v>0</v>
      </c>
      <c r="N21" s="1208">
        <f t="shared" si="8"/>
        <v>0</v>
      </c>
      <c r="O21" s="1208">
        <f t="shared" si="8"/>
        <v>0</v>
      </c>
      <c r="P21" s="1208">
        <f t="shared" si="8"/>
        <v>4256000000</v>
      </c>
      <c r="Q21" s="1208">
        <f t="shared" si="8"/>
        <v>4224885477</v>
      </c>
      <c r="R21" s="1208">
        <f t="shared" si="8"/>
        <v>4224885477</v>
      </c>
      <c r="S21" s="1208">
        <f t="shared" si="8"/>
        <v>0</v>
      </c>
      <c r="T21" s="1208">
        <f t="shared" si="8"/>
        <v>30587731</v>
      </c>
      <c r="U21" s="1208">
        <f t="shared" si="8"/>
        <v>526792</v>
      </c>
      <c r="V21" s="1208"/>
      <c r="W21" s="1208">
        <f t="shared" si="8"/>
        <v>4224885477</v>
      </c>
      <c r="X21" s="1208">
        <f t="shared" si="8"/>
        <v>0</v>
      </c>
      <c r="Y21" s="1208">
        <f t="shared" si="8"/>
        <v>10924885477</v>
      </c>
    </row>
    <row r="22" spans="1:26" s="350" customFormat="1" ht="34.5" customHeight="1" x14ac:dyDescent="0.25">
      <c r="A22" s="1224"/>
      <c r="B22" s="1210" t="s">
        <v>691</v>
      </c>
      <c r="C22" s="1225"/>
      <c r="D22" s="1226"/>
      <c r="E22" s="1213">
        <f>SUM(E23:E24)</f>
        <v>7835265817</v>
      </c>
      <c r="F22" s="1213">
        <f t="shared" ref="F22:Y22" si="9">SUM(F23:F24)</f>
        <v>1150000000</v>
      </c>
      <c r="G22" s="1213">
        <f t="shared" si="9"/>
        <v>0</v>
      </c>
      <c r="H22" s="1213">
        <f t="shared" si="9"/>
        <v>0</v>
      </c>
      <c r="I22" s="1213">
        <f t="shared" si="9"/>
        <v>0</v>
      </c>
      <c r="J22" s="1213">
        <f t="shared" si="9"/>
        <v>0</v>
      </c>
      <c r="K22" s="1213">
        <f t="shared" si="9"/>
        <v>0</v>
      </c>
      <c r="L22" s="1213">
        <f t="shared" si="9"/>
        <v>0</v>
      </c>
      <c r="M22" s="1213">
        <f t="shared" si="9"/>
        <v>0</v>
      </c>
      <c r="N22" s="1213">
        <f t="shared" si="9"/>
        <v>0</v>
      </c>
      <c r="O22" s="1213">
        <f t="shared" si="9"/>
        <v>0</v>
      </c>
      <c r="P22" s="1213">
        <f t="shared" si="9"/>
        <v>3601000000</v>
      </c>
      <c r="Q22" s="1213">
        <f t="shared" si="9"/>
        <v>3570068477</v>
      </c>
      <c r="R22" s="1213">
        <f t="shared" si="9"/>
        <v>3570068477</v>
      </c>
      <c r="S22" s="1213">
        <f t="shared" si="9"/>
        <v>0</v>
      </c>
      <c r="T22" s="1213">
        <f t="shared" si="9"/>
        <v>30587731</v>
      </c>
      <c r="U22" s="1213">
        <f t="shared" si="9"/>
        <v>343792</v>
      </c>
      <c r="V22" s="1213"/>
      <c r="W22" s="1213">
        <f t="shared" si="9"/>
        <v>3570068477</v>
      </c>
      <c r="X22" s="1213">
        <f t="shared" si="9"/>
        <v>0</v>
      </c>
      <c r="Y22" s="1213">
        <f t="shared" si="9"/>
        <v>4720068477</v>
      </c>
    </row>
    <row r="23" spans="1:26" s="350" customFormat="1" ht="33.75" customHeight="1" x14ac:dyDescent="0.25">
      <c r="A23" s="1214" t="s">
        <v>40</v>
      </c>
      <c r="B23" s="1215" t="s">
        <v>437</v>
      </c>
      <c r="C23" s="1169" t="s">
        <v>694</v>
      </c>
      <c r="D23" s="1227">
        <v>8161499</v>
      </c>
      <c r="E23" s="1217">
        <v>2720000000</v>
      </c>
      <c r="F23" s="1217"/>
      <c r="G23" s="1217"/>
      <c r="H23" s="1217"/>
      <c r="I23" s="1217"/>
      <c r="J23" s="1218"/>
      <c r="K23" s="1218">
        <f>L23+M23</f>
        <v>0</v>
      </c>
      <c r="L23" s="1218"/>
      <c r="M23" s="1218"/>
      <c r="N23" s="1218"/>
      <c r="O23" s="1218">
        <f>J23-K23-N23</f>
        <v>0</v>
      </c>
      <c r="P23" s="1217">
        <v>1960000000</v>
      </c>
      <c r="Q23" s="1219">
        <f>R23+S23</f>
        <v>1929412269</v>
      </c>
      <c r="R23" s="1217">
        <f>2689412269-760000000</f>
        <v>1929412269</v>
      </c>
      <c r="S23" s="1217"/>
      <c r="T23" s="1217">
        <v>30587731</v>
      </c>
      <c r="U23" s="1217">
        <f>P23-Q23-T23</f>
        <v>0</v>
      </c>
      <c r="V23" s="1217"/>
      <c r="W23" s="1217">
        <f>I23+L23+R23</f>
        <v>1929412269</v>
      </c>
      <c r="X23" s="1217">
        <f>G23-H23-I23+M23+S23</f>
        <v>0</v>
      </c>
      <c r="Y23" s="563">
        <f>F23-H23+K23+Q23-V23</f>
        <v>1929412269</v>
      </c>
    </row>
    <row r="24" spans="1:26" s="350" customFormat="1" ht="45" customHeight="1" x14ac:dyDescent="0.25">
      <c r="A24" s="1214" t="s">
        <v>41</v>
      </c>
      <c r="B24" s="1215" t="s">
        <v>436</v>
      </c>
      <c r="C24" s="1169" t="s">
        <v>694</v>
      </c>
      <c r="D24" s="1227">
        <v>8034987</v>
      </c>
      <c r="E24" s="1217">
        <v>5115265817</v>
      </c>
      <c r="F24" s="1217">
        <v>1150000000</v>
      </c>
      <c r="G24" s="1217"/>
      <c r="H24" s="1217"/>
      <c r="I24" s="1217"/>
      <c r="J24" s="1218"/>
      <c r="K24" s="1218">
        <f>L24+M24</f>
        <v>0</v>
      </c>
      <c r="L24" s="1218"/>
      <c r="M24" s="1218"/>
      <c r="N24" s="1218"/>
      <c r="O24" s="1218">
        <f>J24-K24-N24</f>
        <v>0</v>
      </c>
      <c r="P24" s="1217">
        <v>1641000000</v>
      </c>
      <c r="Q24" s="1219">
        <f>R24+S24</f>
        <v>1640656208</v>
      </c>
      <c r="R24" s="1217">
        <v>1640656208</v>
      </c>
      <c r="S24" s="1217"/>
      <c r="T24" s="1217"/>
      <c r="U24" s="1217">
        <f>P24-Q24-T24</f>
        <v>343792</v>
      </c>
      <c r="V24" s="1217"/>
      <c r="W24" s="1217">
        <f>I24+L24+R24</f>
        <v>1640656208</v>
      </c>
      <c r="X24" s="1217">
        <f>G24-H24-I24+M24+S24</f>
        <v>0</v>
      </c>
      <c r="Y24" s="563">
        <f>F24-H24+K24+Q24-V24</f>
        <v>2790656208</v>
      </c>
    </row>
    <row r="25" spans="1:26" s="350" customFormat="1" ht="34.5" customHeight="1" x14ac:dyDescent="0.25">
      <c r="A25" s="1228"/>
      <c r="B25" s="1163" t="s">
        <v>703</v>
      </c>
      <c r="C25" s="1229"/>
      <c r="D25" s="1227"/>
      <c r="E25" s="1166">
        <f>SUM(E26:E26)</f>
        <v>7350000000</v>
      </c>
      <c r="F25" s="1166">
        <f t="shared" ref="F25:Y25" si="10">SUM(F26:F26)</f>
        <v>5550000000</v>
      </c>
      <c r="G25" s="1166">
        <f t="shared" si="10"/>
        <v>0</v>
      </c>
      <c r="H25" s="1166">
        <f t="shared" si="10"/>
        <v>0</v>
      </c>
      <c r="I25" s="1166">
        <f t="shared" si="10"/>
        <v>0</v>
      </c>
      <c r="J25" s="1166">
        <f t="shared" si="10"/>
        <v>0</v>
      </c>
      <c r="K25" s="1166">
        <f t="shared" si="10"/>
        <v>0</v>
      </c>
      <c r="L25" s="1166">
        <f t="shared" si="10"/>
        <v>0</v>
      </c>
      <c r="M25" s="1166">
        <f t="shared" si="10"/>
        <v>0</v>
      </c>
      <c r="N25" s="1166">
        <f t="shared" si="10"/>
        <v>0</v>
      </c>
      <c r="O25" s="1166">
        <f t="shared" si="10"/>
        <v>0</v>
      </c>
      <c r="P25" s="1166">
        <f t="shared" si="10"/>
        <v>655000000</v>
      </c>
      <c r="Q25" s="1166">
        <f t="shared" si="10"/>
        <v>654817000</v>
      </c>
      <c r="R25" s="1166">
        <f t="shared" si="10"/>
        <v>654817000</v>
      </c>
      <c r="S25" s="1166">
        <f t="shared" si="10"/>
        <v>0</v>
      </c>
      <c r="T25" s="1166">
        <f t="shared" si="10"/>
        <v>0</v>
      </c>
      <c r="U25" s="1166">
        <f t="shared" si="10"/>
        <v>183000</v>
      </c>
      <c r="V25" s="1166"/>
      <c r="W25" s="1166">
        <f t="shared" si="10"/>
        <v>654817000</v>
      </c>
      <c r="X25" s="1166">
        <f t="shared" si="10"/>
        <v>0</v>
      </c>
      <c r="Y25" s="1166">
        <f t="shared" si="10"/>
        <v>6204817000</v>
      </c>
    </row>
    <row r="26" spans="1:26" s="350" customFormat="1" ht="52.5" customHeight="1" x14ac:dyDescent="0.25">
      <c r="A26" s="1214" t="s">
        <v>47</v>
      </c>
      <c r="B26" s="1215" t="s">
        <v>704</v>
      </c>
      <c r="C26" s="1230" t="s">
        <v>694</v>
      </c>
      <c r="D26" s="1227">
        <v>7967230</v>
      </c>
      <c r="E26" s="1219">
        <v>7350000000</v>
      </c>
      <c r="F26" s="1217">
        <v>5550000000</v>
      </c>
      <c r="G26" s="1217"/>
      <c r="H26" s="1217"/>
      <c r="I26" s="1217"/>
      <c r="J26" s="1217"/>
      <c r="K26" s="1218">
        <f>L26+M26</f>
        <v>0</v>
      </c>
      <c r="L26" s="1217"/>
      <c r="M26" s="1217"/>
      <c r="N26" s="1217"/>
      <c r="O26" s="1218">
        <f>J26-K26-N26</f>
        <v>0</v>
      </c>
      <c r="P26" s="1217">
        <v>655000000</v>
      </c>
      <c r="Q26" s="1219">
        <f>R26+S26</f>
        <v>654817000</v>
      </c>
      <c r="R26" s="1217">
        <v>654817000</v>
      </c>
      <c r="S26" s="1217"/>
      <c r="T26" s="1217"/>
      <c r="U26" s="1217">
        <f>P26-Q26-T26</f>
        <v>183000</v>
      </c>
      <c r="V26" s="1217"/>
      <c r="W26" s="1217">
        <f>I26+L26+R26</f>
        <v>654817000</v>
      </c>
      <c r="X26" s="1217">
        <f>G26-H26-I26+M26+S26</f>
        <v>0</v>
      </c>
      <c r="Y26" s="563">
        <f>F26-H26+K26+Q26-V26</f>
        <v>6204817000</v>
      </c>
      <c r="Z26" s="1192"/>
    </row>
    <row r="27" spans="1:26" s="350" customFormat="1" ht="26.25" customHeight="1" x14ac:dyDescent="0.25">
      <c r="A27" s="1667" t="s">
        <v>19</v>
      </c>
      <c r="B27" s="1206" t="s">
        <v>441</v>
      </c>
      <c r="C27" s="1206"/>
      <c r="D27" s="1207"/>
      <c r="E27" s="1208">
        <f>E28</f>
        <v>2517228520</v>
      </c>
      <c r="F27" s="1208">
        <f t="shared" ref="F27:U27" si="11">F28</f>
        <v>0</v>
      </c>
      <c r="G27" s="1208">
        <f t="shared" si="11"/>
        <v>0</v>
      </c>
      <c r="H27" s="1208">
        <f t="shared" si="11"/>
        <v>0</v>
      </c>
      <c r="I27" s="1208">
        <f t="shared" si="11"/>
        <v>0</v>
      </c>
      <c r="J27" s="1208">
        <f t="shared" si="11"/>
        <v>588000000</v>
      </c>
      <c r="K27" s="1208">
        <f t="shared" si="11"/>
        <v>588000000</v>
      </c>
      <c r="L27" s="1208">
        <f t="shared" si="11"/>
        <v>588000000</v>
      </c>
      <c r="M27" s="1208">
        <f t="shared" si="11"/>
        <v>0</v>
      </c>
      <c r="N27" s="1208">
        <f t="shared" si="11"/>
        <v>0</v>
      </c>
      <c r="O27" s="1208">
        <f t="shared" si="11"/>
        <v>0</v>
      </c>
      <c r="P27" s="1208">
        <f t="shared" si="11"/>
        <v>747200000</v>
      </c>
      <c r="Q27" s="1208">
        <f t="shared" si="11"/>
        <v>747200000</v>
      </c>
      <c r="R27" s="1208">
        <f t="shared" si="11"/>
        <v>747200000</v>
      </c>
      <c r="S27" s="1208">
        <f t="shared" si="11"/>
        <v>0</v>
      </c>
      <c r="T27" s="1208">
        <f t="shared" si="11"/>
        <v>0</v>
      </c>
      <c r="U27" s="1208">
        <f t="shared" si="11"/>
        <v>0</v>
      </c>
      <c r="V27" s="1208"/>
      <c r="W27" s="1208">
        <f t="shared" ref="W27:Y27" si="12">W28</f>
        <v>1335200000</v>
      </c>
      <c r="X27" s="1208">
        <f t="shared" si="12"/>
        <v>0</v>
      </c>
      <c r="Y27" s="1208">
        <f t="shared" si="12"/>
        <v>1335200000</v>
      </c>
    </row>
    <row r="28" spans="1:26" s="350" customFormat="1" ht="34.5" customHeight="1" x14ac:dyDescent="0.25">
      <c r="A28" s="1228"/>
      <c r="B28" s="1163" t="s">
        <v>703</v>
      </c>
      <c r="C28" s="1229"/>
      <c r="D28" s="1227"/>
      <c r="E28" s="1166">
        <f>SUM(E29:E30)</f>
        <v>2517228520</v>
      </c>
      <c r="F28" s="1166">
        <f t="shared" ref="F28:Y28" si="13">SUM(F29:F30)</f>
        <v>0</v>
      </c>
      <c r="G28" s="1166">
        <f t="shared" si="13"/>
        <v>0</v>
      </c>
      <c r="H28" s="1166">
        <f t="shared" si="13"/>
        <v>0</v>
      </c>
      <c r="I28" s="1166">
        <f t="shared" si="13"/>
        <v>0</v>
      </c>
      <c r="J28" s="1166">
        <f t="shared" si="13"/>
        <v>588000000</v>
      </c>
      <c r="K28" s="1166">
        <f t="shared" si="13"/>
        <v>588000000</v>
      </c>
      <c r="L28" s="1166">
        <f t="shared" si="13"/>
        <v>588000000</v>
      </c>
      <c r="M28" s="1166">
        <f t="shared" si="13"/>
        <v>0</v>
      </c>
      <c r="N28" s="1166">
        <f t="shared" si="13"/>
        <v>0</v>
      </c>
      <c r="O28" s="1166">
        <f t="shared" si="13"/>
        <v>0</v>
      </c>
      <c r="P28" s="1166">
        <f t="shared" si="13"/>
        <v>747200000</v>
      </c>
      <c r="Q28" s="1166">
        <f t="shared" si="13"/>
        <v>747200000</v>
      </c>
      <c r="R28" s="1166">
        <f t="shared" si="13"/>
        <v>747200000</v>
      </c>
      <c r="S28" s="1166">
        <f t="shared" si="13"/>
        <v>0</v>
      </c>
      <c r="T28" s="1166">
        <f t="shared" si="13"/>
        <v>0</v>
      </c>
      <c r="U28" s="1166">
        <f t="shared" si="13"/>
        <v>0</v>
      </c>
      <c r="V28" s="1166">
        <f t="shared" si="13"/>
        <v>0</v>
      </c>
      <c r="W28" s="1166">
        <f t="shared" si="13"/>
        <v>1335200000</v>
      </c>
      <c r="X28" s="1166">
        <f t="shared" si="13"/>
        <v>0</v>
      </c>
      <c r="Y28" s="1166">
        <f t="shared" si="13"/>
        <v>1335200000</v>
      </c>
    </row>
    <row r="29" spans="1:26" s="569" customFormat="1" ht="51.75" customHeight="1" x14ac:dyDescent="0.2">
      <c r="A29" s="1233" t="s">
        <v>319</v>
      </c>
      <c r="B29" s="1234" t="s">
        <v>705</v>
      </c>
      <c r="C29" s="1235" t="s">
        <v>694</v>
      </c>
      <c r="D29" s="1236">
        <v>8088021</v>
      </c>
      <c r="E29" s="1237">
        <v>1414696020</v>
      </c>
      <c r="F29" s="1238"/>
      <c r="G29" s="1238"/>
      <c r="H29" s="1238"/>
      <c r="I29" s="1238"/>
      <c r="J29" s="1238">
        <v>588000000</v>
      </c>
      <c r="K29" s="1239">
        <f t="shared" ref="K29" si="14">L29+M29</f>
        <v>588000000</v>
      </c>
      <c r="L29" s="1238">
        <v>588000000</v>
      </c>
      <c r="M29" s="1238"/>
      <c r="N29" s="1238"/>
      <c r="O29" s="1239">
        <f t="shared" ref="O29" si="15">J29-K29-N29</f>
        <v>0</v>
      </c>
      <c r="P29" s="1237">
        <v>507200000</v>
      </c>
      <c r="Q29" s="1240">
        <f t="shared" ref="Q29" si="16">R29+S29</f>
        <v>507200000</v>
      </c>
      <c r="R29" s="1238">
        <v>507200000</v>
      </c>
      <c r="S29" s="1238"/>
      <c r="T29" s="1238"/>
      <c r="U29" s="1241">
        <f t="shared" ref="U29" si="17">P29-Q29-T29</f>
        <v>0</v>
      </c>
      <c r="V29" s="1241"/>
      <c r="W29" s="1241">
        <f>I29+L29+R29</f>
        <v>1095200000</v>
      </c>
      <c r="X29" s="1241">
        <f>G29-H29-I29+M29+S29</f>
        <v>0</v>
      </c>
      <c r="Y29" s="1238">
        <f>F29-H29+K29+Q29-V29</f>
        <v>1095200000</v>
      </c>
    </row>
    <row r="30" spans="1:26" s="569" customFormat="1" ht="52.5" customHeight="1" x14ac:dyDescent="0.2">
      <c r="A30" s="1214" t="s">
        <v>596</v>
      </c>
      <c r="B30" s="1231" t="s">
        <v>440</v>
      </c>
      <c r="C30" s="1230" t="s">
        <v>694</v>
      </c>
      <c r="D30" s="1227">
        <v>8088020</v>
      </c>
      <c r="E30" s="1232">
        <v>1102532500</v>
      </c>
      <c r="F30" s="563"/>
      <c r="G30" s="563"/>
      <c r="H30" s="563"/>
      <c r="I30" s="563"/>
      <c r="J30" s="563"/>
      <c r="K30" s="1218">
        <f>L30+M30</f>
        <v>0</v>
      </c>
      <c r="L30" s="563"/>
      <c r="M30" s="563"/>
      <c r="N30" s="563"/>
      <c r="O30" s="1218">
        <f>J30-K30-N30</f>
        <v>0</v>
      </c>
      <c r="P30" s="1232">
        <v>240000000</v>
      </c>
      <c r="Q30" s="1219">
        <f>R30+S30</f>
        <v>240000000</v>
      </c>
      <c r="R30" s="563">
        <v>240000000</v>
      </c>
      <c r="S30" s="563"/>
      <c r="T30" s="563"/>
      <c r="U30" s="1217">
        <f>P30-Q30-T30</f>
        <v>0</v>
      </c>
      <c r="V30" s="1217"/>
      <c r="W30" s="1217">
        <f>I30+L30+R30</f>
        <v>240000000</v>
      </c>
      <c r="X30" s="1217">
        <f>G30-H30-I30+M30+S30</f>
        <v>0</v>
      </c>
      <c r="Y30" s="563">
        <f>F30-H30+K30+Q30-V30</f>
        <v>240000000</v>
      </c>
    </row>
    <row r="31" spans="1:26" s="350" customFormat="1" ht="81" customHeight="1" x14ac:dyDescent="0.25">
      <c r="A31" s="1667" t="s">
        <v>5</v>
      </c>
      <c r="B31" s="1242" t="s">
        <v>443</v>
      </c>
      <c r="C31" s="1242"/>
      <c r="D31" s="1207"/>
      <c r="E31" s="1243">
        <f>E32+E35</f>
        <v>99222112140</v>
      </c>
      <c r="F31" s="1243">
        <f t="shared" ref="F31:Y31" si="18">F32+F35</f>
        <v>51289540375</v>
      </c>
      <c r="G31" s="1243">
        <f t="shared" si="18"/>
        <v>503470316</v>
      </c>
      <c r="H31" s="1243">
        <f t="shared" si="18"/>
        <v>79530000</v>
      </c>
      <c r="I31" s="1243">
        <f t="shared" si="18"/>
        <v>423940316</v>
      </c>
      <c r="J31" s="1243">
        <f t="shared" si="18"/>
        <v>694146400</v>
      </c>
      <c r="K31" s="1243">
        <f t="shared" si="18"/>
        <v>694146400</v>
      </c>
      <c r="L31" s="1243">
        <f t="shared" si="18"/>
        <v>694146400</v>
      </c>
      <c r="M31" s="1243">
        <f t="shared" si="18"/>
        <v>0</v>
      </c>
      <c r="N31" s="1243">
        <f t="shared" si="18"/>
        <v>0</v>
      </c>
      <c r="O31" s="1243">
        <f t="shared" si="18"/>
        <v>0</v>
      </c>
      <c r="P31" s="1243">
        <f t="shared" si="18"/>
        <v>0</v>
      </c>
      <c r="Q31" s="1243">
        <f t="shared" si="18"/>
        <v>0</v>
      </c>
      <c r="R31" s="1243">
        <f t="shared" si="18"/>
        <v>0</v>
      </c>
      <c r="S31" s="1243">
        <f t="shared" si="18"/>
        <v>0</v>
      </c>
      <c r="T31" s="1243">
        <f t="shared" si="18"/>
        <v>0</v>
      </c>
      <c r="U31" s="1243">
        <f t="shared" si="18"/>
        <v>0</v>
      </c>
      <c r="V31" s="1243"/>
      <c r="W31" s="1243">
        <f t="shared" si="18"/>
        <v>1118086716</v>
      </c>
      <c r="X31" s="1243">
        <f t="shared" si="18"/>
        <v>0</v>
      </c>
      <c r="Y31" s="1243">
        <f t="shared" si="18"/>
        <v>51904156775</v>
      </c>
    </row>
    <row r="32" spans="1:26" s="350" customFormat="1" ht="23.25" customHeight="1" x14ac:dyDescent="0.25">
      <c r="A32" s="1667" t="s">
        <v>6</v>
      </c>
      <c r="B32" s="1206" t="s">
        <v>365</v>
      </c>
      <c r="C32" s="1206"/>
      <c r="D32" s="1207"/>
      <c r="E32" s="1208">
        <f>E33</f>
        <v>97099847140</v>
      </c>
      <c r="F32" s="1208">
        <f t="shared" ref="F32:Y33" si="19">F33</f>
        <v>50912986775</v>
      </c>
      <c r="G32" s="1208">
        <f t="shared" si="19"/>
        <v>126916716</v>
      </c>
      <c r="H32" s="1208">
        <f t="shared" si="19"/>
        <v>79530000</v>
      </c>
      <c r="I32" s="1208">
        <f t="shared" si="19"/>
        <v>47386716</v>
      </c>
      <c r="J32" s="1208">
        <f t="shared" si="19"/>
        <v>0</v>
      </c>
      <c r="K32" s="1208">
        <f t="shared" si="19"/>
        <v>0</v>
      </c>
      <c r="L32" s="1208">
        <f t="shared" si="19"/>
        <v>0</v>
      </c>
      <c r="M32" s="1208">
        <f t="shared" si="19"/>
        <v>0</v>
      </c>
      <c r="N32" s="1208">
        <f t="shared" si="19"/>
        <v>0</v>
      </c>
      <c r="O32" s="1208">
        <f t="shared" si="19"/>
        <v>0</v>
      </c>
      <c r="P32" s="1208">
        <f t="shared" si="19"/>
        <v>0</v>
      </c>
      <c r="Q32" s="1208">
        <f t="shared" si="19"/>
        <v>0</v>
      </c>
      <c r="R32" s="1208">
        <f t="shared" si="19"/>
        <v>0</v>
      </c>
      <c r="S32" s="1208">
        <f t="shared" si="19"/>
        <v>0</v>
      </c>
      <c r="T32" s="1208">
        <f t="shared" si="19"/>
        <v>0</v>
      </c>
      <c r="U32" s="1208">
        <f t="shared" si="19"/>
        <v>0</v>
      </c>
      <c r="V32" s="1208"/>
      <c r="W32" s="1208">
        <f t="shared" si="19"/>
        <v>47386716</v>
      </c>
      <c r="X32" s="1208">
        <f t="shared" si="19"/>
        <v>0</v>
      </c>
      <c r="Y32" s="1208">
        <f t="shared" si="19"/>
        <v>50833456775</v>
      </c>
    </row>
    <row r="33" spans="1:26" s="350" customFormat="1" ht="32.25" customHeight="1" x14ac:dyDescent="0.25">
      <c r="A33" s="1244"/>
      <c r="B33" s="1245" t="s">
        <v>703</v>
      </c>
      <c r="C33" s="1245"/>
      <c r="D33" s="1226"/>
      <c r="E33" s="1213">
        <f>E34</f>
        <v>97099847140</v>
      </c>
      <c r="F33" s="1213">
        <f t="shared" si="19"/>
        <v>50912986775</v>
      </c>
      <c r="G33" s="1213">
        <f t="shared" si="19"/>
        <v>126916716</v>
      </c>
      <c r="H33" s="1213">
        <f t="shared" si="19"/>
        <v>79530000</v>
      </c>
      <c r="I33" s="1213">
        <f t="shared" si="19"/>
        <v>47386716</v>
      </c>
      <c r="J33" s="1213">
        <f t="shared" si="19"/>
        <v>0</v>
      </c>
      <c r="K33" s="1213">
        <f t="shared" si="19"/>
        <v>0</v>
      </c>
      <c r="L33" s="1213">
        <f t="shared" si="19"/>
        <v>0</v>
      </c>
      <c r="M33" s="1213">
        <f t="shared" si="19"/>
        <v>0</v>
      </c>
      <c r="N33" s="1213">
        <f t="shared" si="19"/>
        <v>0</v>
      </c>
      <c r="O33" s="1213">
        <f t="shared" si="19"/>
        <v>0</v>
      </c>
      <c r="P33" s="1213">
        <f t="shared" si="19"/>
        <v>0</v>
      </c>
      <c r="Q33" s="1213">
        <f t="shared" si="19"/>
        <v>0</v>
      </c>
      <c r="R33" s="1213">
        <f t="shared" si="19"/>
        <v>0</v>
      </c>
      <c r="S33" s="1213">
        <f t="shared" si="19"/>
        <v>0</v>
      </c>
      <c r="T33" s="1213">
        <f t="shared" si="19"/>
        <v>0</v>
      </c>
      <c r="U33" s="1213">
        <f t="shared" si="19"/>
        <v>0</v>
      </c>
      <c r="V33" s="1213"/>
      <c r="W33" s="1213">
        <f t="shared" si="19"/>
        <v>47386716</v>
      </c>
      <c r="X33" s="1213">
        <f t="shared" si="19"/>
        <v>0</v>
      </c>
      <c r="Y33" s="1213">
        <f t="shared" si="19"/>
        <v>50833456775</v>
      </c>
    </row>
    <row r="34" spans="1:26" s="350" customFormat="1" ht="53.25" customHeight="1" x14ac:dyDescent="0.25">
      <c r="A34" s="1214" t="s">
        <v>8</v>
      </c>
      <c r="B34" s="1215" t="s">
        <v>706</v>
      </c>
      <c r="C34" s="1230" t="s">
        <v>694</v>
      </c>
      <c r="D34" s="1227">
        <v>7851058</v>
      </c>
      <c r="E34" s="1219">
        <v>97099847140</v>
      </c>
      <c r="F34" s="1217">
        <v>50912986775</v>
      </c>
      <c r="G34" s="1217">
        <v>126916716</v>
      </c>
      <c r="H34" s="1217">
        <v>79530000</v>
      </c>
      <c r="I34" s="1217">
        <v>47386716</v>
      </c>
      <c r="J34" s="1217"/>
      <c r="K34" s="1218">
        <f t="shared" ref="K34" si="20">L34+M34</f>
        <v>0</v>
      </c>
      <c r="L34" s="1217"/>
      <c r="M34" s="1217"/>
      <c r="N34" s="1217"/>
      <c r="O34" s="1218">
        <f t="shared" ref="O34" si="21">J34-K34-N34</f>
        <v>0</v>
      </c>
      <c r="P34" s="1217"/>
      <c r="Q34" s="1219">
        <f t="shared" ref="Q34" si="22">R34+S34</f>
        <v>0</v>
      </c>
      <c r="R34" s="1217"/>
      <c r="S34" s="1217"/>
      <c r="T34" s="1217"/>
      <c r="U34" s="1217">
        <f t="shared" ref="U34" si="23">P34-Q34-T34</f>
        <v>0</v>
      </c>
      <c r="V34" s="1217"/>
      <c r="W34" s="1217">
        <f>I34+L34+R34</f>
        <v>47386716</v>
      </c>
      <c r="X34" s="1217">
        <f>G34-H34-I34+M34+S34</f>
        <v>0</v>
      </c>
      <c r="Y34" s="563">
        <f>F34-H34+K34+Q34-V34</f>
        <v>50833456775</v>
      </c>
      <c r="Z34" s="1192"/>
    </row>
    <row r="35" spans="1:26" s="350" customFormat="1" ht="20.25" customHeight="1" x14ac:dyDescent="0.25">
      <c r="A35" s="1667" t="s">
        <v>12</v>
      </c>
      <c r="B35" s="1206" t="s">
        <v>439</v>
      </c>
      <c r="C35" s="1206"/>
      <c r="D35" s="1207"/>
      <c r="E35" s="1208">
        <f>E36</f>
        <v>2122265000</v>
      </c>
      <c r="F35" s="1208">
        <f t="shared" ref="F35:Y35" si="24">F36</f>
        <v>376553600</v>
      </c>
      <c r="G35" s="1208">
        <f t="shared" si="24"/>
        <v>376553600</v>
      </c>
      <c r="H35" s="1208">
        <f t="shared" si="24"/>
        <v>0</v>
      </c>
      <c r="I35" s="1208">
        <f t="shared" si="24"/>
        <v>376553600</v>
      </c>
      <c r="J35" s="1208">
        <f t="shared" si="24"/>
        <v>694146400</v>
      </c>
      <c r="K35" s="1208">
        <f t="shared" si="24"/>
        <v>694146400</v>
      </c>
      <c r="L35" s="1208">
        <f t="shared" si="24"/>
        <v>694146400</v>
      </c>
      <c r="M35" s="1208">
        <f t="shared" si="24"/>
        <v>0</v>
      </c>
      <c r="N35" s="1208">
        <f t="shared" si="24"/>
        <v>0</v>
      </c>
      <c r="O35" s="1208">
        <f t="shared" si="24"/>
        <v>0</v>
      </c>
      <c r="P35" s="1208">
        <f t="shared" si="24"/>
        <v>0</v>
      </c>
      <c r="Q35" s="1208">
        <f t="shared" si="24"/>
        <v>0</v>
      </c>
      <c r="R35" s="1208">
        <f t="shared" si="24"/>
        <v>0</v>
      </c>
      <c r="S35" s="1208">
        <f t="shared" si="24"/>
        <v>0</v>
      </c>
      <c r="T35" s="1208">
        <f t="shared" si="24"/>
        <v>0</v>
      </c>
      <c r="U35" s="1208">
        <f t="shared" si="24"/>
        <v>0</v>
      </c>
      <c r="V35" s="1208"/>
      <c r="W35" s="1208">
        <f t="shared" si="24"/>
        <v>1070700000</v>
      </c>
      <c r="X35" s="1208">
        <f t="shared" si="24"/>
        <v>0</v>
      </c>
      <c r="Y35" s="1208">
        <f t="shared" si="24"/>
        <v>1070700000</v>
      </c>
    </row>
    <row r="36" spans="1:26" s="350" customFormat="1" ht="34.5" customHeight="1" x14ac:dyDescent="0.25">
      <c r="A36" s="1228"/>
      <c r="B36" s="1163" t="s">
        <v>703</v>
      </c>
      <c r="C36" s="1229"/>
      <c r="D36" s="1227"/>
      <c r="E36" s="1166">
        <f>SUM(E37:E38)</f>
        <v>2122265000</v>
      </c>
      <c r="F36" s="1166">
        <f t="shared" ref="F36:Y36" si="25">SUM(F37:F38)</f>
        <v>376553600</v>
      </c>
      <c r="G36" s="1166">
        <f t="shared" si="25"/>
        <v>376553600</v>
      </c>
      <c r="H36" s="1166">
        <f t="shared" si="25"/>
        <v>0</v>
      </c>
      <c r="I36" s="1166">
        <f t="shared" si="25"/>
        <v>376553600</v>
      </c>
      <c r="J36" s="1166">
        <f t="shared" si="25"/>
        <v>694146400</v>
      </c>
      <c r="K36" s="1166">
        <f t="shared" si="25"/>
        <v>694146400</v>
      </c>
      <c r="L36" s="1166">
        <f t="shared" si="25"/>
        <v>694146400</v>
      </c>
      <c r="M36" s="1166">
        <f t="shared" si="25"/>
        <v>0</v>
      </c>
      <c r="N36" s="1166">
        <f t="shared" si="25"/>
        <v>0</v>
      </c>
      <c r="O36" s="1166">
        <f t="shared" si="25"/>
        <v>0</v>
      </c>
      <c r="P36" s="1166">
        <f t="shared" si="25"/>
        <v>0</v>
      </c>
      <c r="Q36" s="1166">
        <f t="shared" si="25"/>
        <v>0</v>
      </c>
      <c r="R36" s="1166">
        <f t="shared" si="25"/>
        <v>0</v>
      </c>
      <c r="S36" s="1166">
        <f t="shared" si="25"/>
        <v>0</v>
      </c>
      <c r="T36" s="1166">
        <f t="shared" si="25"/>
        <v>0</v>
      </c>
      <c r="U36" s="1166">
        <f t="shared" si="25"/>
        <v>0</v>
      </c>
      <c r="V36" s="1166">
        <f t="shared" si="25"/>
        <v>0</v>
      </c>
      <c r="W36" s="1166">
        <f t="shared" si="25"/>
        <v>1070700000</v>
      </c>
      <c r="X36" s="1166">
        <f t="shared" si="25"/>
        <v>0</v>
      </c>
      <c r="Y36" s="1166">
        <f t="shared" si="25"/>
        <v>1070700000</v>
      </c>
    </row>
    <row r="37" spans="1:26" s="350" customFormat="1" ht="60.75" customHeight="1" x14ac:dyDescent="0.25">
      <c r="A37" s="1233" t="s">
        <v>40</v>
      </c>
      <c r="B37" s="1246" t="s">
        <v>445</v>
      </c>
      <c r="C37" s="1235" t="s">
        <v>694</v>
      </c>
      <c r="D37" s="1236">
        <v>8090518</v>
      </c>
      <c r="E37" s="1241">
        <v>1019732500</v>
      </c>
      <c r="F37" s="1241">
        <v>85553600</v>
      </c>
      <c r="G37" s="1241">
        <v>85553600</v>
      </c>
      <c r="H37" s="1241"/>
      <c r="I37" s="1241">
        <v>85553600</v>
      </c>
      <c r="J37" s="1239">
        <v>536646400</v>
      </c>
      <c r="K37" s="1239">
        <f t="shared" ref="K37" si="26">L37+M37</f>
        <v>536646400</v>
      </c>
      <c r="L37" s="1239">
        <v>536646400</v>
      </c>
      <c r="M37" s="1239"/>
      <c r="N37" s="1239"/>
      <c r="O37" s="1239">
        <f>J37-K37-N37</f>
        <v>0</v>
      </c>
      <c r="P37" s="1241"/>
      <c r="Q37" s="1240">
        <f t="shared" ref="Q37" si="27">R37+S37</f>
        <v>0</v>
      </c>
      <c r="R37" s="1241"/>
      <c r="S37" s="1241"/>
      <c r="T37" s="1241"/>
      <c r="U37" s="1241">
        <f t="shared" ref="U37:U42" si="28">P37-Q37-T37</f>
        <v>0</v>
      </c>
      <c r="V37" s="1241"/>
      <c r="W37" s="1241">
        <f>I37+L37+R37</f>
        <v>622200000</v>
      </c>
      <c r="X37" s="1241">
        <f>G37-H37-I37+M37+S37</f>
        <v>0</v>
      </c>
      <c r="Y37" s="1238">
        <f>F37-H37+K37+Q37-V37</f>
        <v>622200000</v>
      </c>
    </row>
    <row r="38" spans="1:26" s="569" customFormat="1" ht="52.5" customHeight="1" x14ac:dyDescent="0.2">
      <c r="A38" s="1214" t="s">
        <v>593</v>
      </c>
      <c r="B38" s="1231" t="s">
        <v>440</v>
      </c>
      <c r="C38" s="1230" t="s">
        <v>694</v>
      </c>
      <c r="D38" s="1227">
        <v>8088020</v>
      </c>
      <c r="E38" s="1232">
        <v>1102532500</v>
      </c>
      <c r="F38" s="563">
        <v>291000000</v>
      </c>
      <c r="G38" s="563">
        <v>291000000</v>
      </c>
      <c r="H38" s="563"/>
      <c r="I38" s="563">
        <v>291000000</v>
      </c>
      <c r="J38" s="563">
        <v>157500000</v>
      </c>
      <c r="K38" s="1218">
        <f>L38+M38</f>
        <v>157500000</v>
      </c>
      <c r="L38" s="563">
        <v>157500000</v>
      </c>
      <c r="M38" s="563"/>
      <c r="N38" s="563"/>
      <c r="O38" s="1218">
        <f>J38-K38-N38</f>
        <v>0</v>
      </c>
      <c r="P38" s="1232"/>
      <c r="Q38" s="1219">
        <f>R38+S38</f>
        <v>0</v>
      </c>
      <c r="R38" s="563"/>
      <c r="S38" s="563"/>
      <c r="T38" s="563"/>
      <c r="U38" s="1217">
        <f>P38-Q38-T38</f>
        <v>0</v>
      </c>
      <c r="V38" s="1217"/>
      <c r="W38" s="1217">
        <f>I38+L38+R38</f>
        <v>448500000</v>
      </c>
      <c r="X38" s="1217">
        <f>G38-H38-I38+M38+S38</f>
        <v>0</v>
      </c>
      <c r="Y38" s="563">
        <f>F38-H38+K38+Q38-V38</f>
        <v>448500000</v>
      </c>
    </row>
    <row r="39" spans="1:26" s="350" customFormat="1" ht="24" customHeight="1" x14ac:dyDescent="0.25">
      <c r="A39" s="1247" t="s">
        <v>42</v>
      </c>
      <c r="B39" s="1248" t="s">
        <v>446</v>
      </c>
      <c r="C39" s="1249"/>
      <c r="D39" s="1134"/>
      <c r="E39" s="1208">
        <f>E40+E43</f>
        <v>738000000</v>
      </c>
      <c r="F39" s="1208">
        <f t="shared" ref="F39:Y39" si="29">F40+F43</f>
        <v>295000000</v>
      </c>
      <c r="G39" s="1208">
        <f t="shared" si="29"/>
        <v>0</v>
      </c>
      <c r="H39" s="1208">
        <f t="shared" si="29"/>
        <v>0</v>
      </c>
      <c r="I39" s="1208">
        <f t="shared" si="29"/>
        <v>0</v>
      </c>
      <c r="J39" s="1208">
        <f t="shared" si="29"/>
        <v>74000000</v>
      </c>
      <c r="K39" s="1208">
        <f t="shared" si="29"/>
        <v>60964895</v>
      </c>
      <c r="L39" s="1208">
        <f t="shared" si="29"/>
        <v>60964895</v>
      </c>
      <c r="M39" s="1208">
        <f t="shared" si="29"/>
        <v>0</v>
      </c>
      <c r="N39" s="1208">
        <f t="shared" si="29"/>
        <v>0</v>
      </c>
      <c r="O39" s="1208">
        <f t="shared" si="29"/>
        <v>13035105</v>
      </c>
      <c r="P39" s="1208">
        <f t="shared" si="29"/>
        <v>0</v>
      </c>
      <c r="Q39" s="1208">
        <f t="shared" si="29"/>
        <v>0</v>
      </c>
      <c r="R39" s="1208">
        <f t="shared" si="29"/>
        <v>0</v>
      </c>
      <c r="S39" s="1208">
        <f t="shared" si="29"/>
        <v>0</v>
      </c>
      <c r="T39" s="1208">
        <f t="shared" si="29"/>
        <v>0</v>
      </c>
      <c r="U39" s="1208">
        <f t="shared" si="29"/>
        <v>0</v>
      </c>
      <c r="V39" s="1208"/>
      <c r="W39" s="1208">
        <f t="shared" si="29"/>
        <v>60964895</v>
      </c>
      <c r="X39" s="1208">
        <f t="shared" si="29"/>
        <v>0</v>
      </c>
      <c r="Y39" s="1208">
        <f t="shared" si="29"/>
        <v>355964895</v>
      </c>
    </row>
    <row r="40" spans="1:26" s="350" customFormat="1" ht="19.5" customHeight="1" x14ac:dyDescent="0.25">
      <c r="A40" s="1250">
        <v>1</v>
      </c>
      <c r="B40" s="1251" t="s">
        <v>707</v>
      </c>
      <c r="C40" s="1249"/>
      <c r="D40" s="1134"/>
      <c r="E40" s="1208">
        <f>E41</f>
        <v>369000000</v>
      </c>
      <c r="F40" s="1208">
        <f t="shared" ref="F40:Y41" si="30">F41</f>
        <v>295000000</v>
      </c>
      <c r="G40" s="1208">
        <f t="shared" si="30"/>
        <v>0</v>
      </c>
      <c r="H40" s="1208">
        <f t="shared" si="30"/>
        <v>0</v>
      </c>
      <c r="I40" s="1208">
        <f t="shared" si="30"/>
        <v>0</v>
      </c>
      <c r="J40" s="1208">
        <f t="shared" si="30"/>
        <v>54000000</v>
      </c>
      <c r="K40" s="1208">
        <f t="shared" si="30"/>
        <v>54000000</v>
      </c>
      <c r="L40" s="1208">
        <f t="shared" si="30"/>
        <v>54000000</v>
      </c>
      <c r="M40" s="1208">
        <f t="shared" si="30"/>
        <v>0</v>
      </c>
      <c r="N40" s="1208">
        <f t="shared" si="30"/>
        <v>0</v>
      </c>
      <c r="O40" s="1208">
        <f t="shared" si="30"/>
        <v>0</v>
      </c>
      <c r="P40" s="1208">
        <f t="shared" si="30"/>
        <v>0</v>
      </c>
      <c r="Q40" s="1208">
        <f t="shared" si="30"/>
        <v>0</v>
      </c>
      <c r="R40" s="1208">
        <f t="shared" si="30"/>
        <v>0</v>
      </c>
      <c r="S40" s="1208">
        <f t="shared" si="30"/>
        <v>0</v>
      </c>
      <c r="T40" s="1208">
        <f t="shared" si="30"/>
        <v>0</v>
      </c>
      <c r="U40" s="1208">
        <f t="shared" si="30"/>
        <v>0</v>
      </c>
      <c r="V40" s="1208"/>
      <c r="W40" s="1208">
        <f t="shared" si="30"/>
        <v>54000000</v>
      </c>
      <c r="X40" s="1208">
        <f t="shared" si="30"/>
        <v>0</v>
      </c>
      <c r="Y40" s="1208">
        <f t="shared" si="30"/>
        <v>349000000</v>
      </c>
    </row>
    <row r="41" spans="1:26" s="350" customFormat="1" ht="28.5" customHeight="1" x14ac:dyDescent="0.25">
      <c r="A41" s="1252"/>
      <c r="B41" s="1253" t="s">
        <v>708</v>
      </c>
      <c r="C41" s="1254"/>
      <c r="D41" s="1255"/>
      <c r="E41" s="1213">
        <f>E42</f>
        <v>369000000</v>
      </c>
      <c r="F41" s="1213">
        <f t="shared" si="30"/>
        <v>295000000</v>
      </c>
      <c r="G41" s="1213">
        <f t="shared" si="30"/>
        <v>0</v>
      </c>
      <c r="H41" s="1213">
        <f t="shared" si="30"/>
        <v>0</v>
      </c>
      <c r="I41" s="1213">
        <f t="shared" si="30"/>
        <v>0</v>
      </c>
      <c r="J41" s="1213">
        <f t="shared" si="30"/>
        <v>54000000</v>
      </c>
      <c r="K41" s="1213">
        <f t="shared" si="30"/>
        <v>54000000</v>
      </c>
      <c r="L41" s="1213">
        <f t="shared" si="30"/>
        <v>54000000</v>
      </c>
      <c r="M41" s="1213">
        <f t="shared" si="30"/>
        <v>0</v>
      </c>
      <c r="N41" s="1213">
        <f t="shared" si="30"/>
        <v>0</v>
      </c>
      <c r="O41" s="1213">
        <f t="shared" si="30"/>
        <v>0</v>
      </c>
      <c r="P41" s="1213">
        <f t="shared" si="30"/>
        <v>0</v>
      </c>
      <c r="Q41" s="1213">
        <f t="shared" si="30"/>
        <v>0</v>
      </c>
      <c r="R41" s="1213">
        <f t="shared" si="30"/>
        <v>0</v>
      </c>
      <c r="S41" s="1213">
        <f t="shared" si="30"/>
        <v>0</v>
      </c>
      <c r="T41" s="1213">
        <f t="shared" si="30"/>
        <v>0</v>
      </c>
      <c r="U41" s="1213">
        <f t="shared" si="30"/>
        <v>0</v>
      </c>
      <c r="V41" s="1213"/>
      <c r="W41" s="1213">
        <f t="shared" si="30"/>
        <v>54000000</v>
      </c>
      <c r="X41" s="1213">
        <f t="shared" si="30"/>
        <v>0</v>
      </c>
      <c r="Y41" s="1213">
        <f t="shared" si="30"/>
        <v>349000000</v>
      </c>
    </row>
    <row r="42" spans="1:26" s="350" customFormat="1" ht="45.75" customHeight="1" x14ac:dyDescent="0.25">
      <c r="A42" s="1256" t="s">
        <v>32</v>
      </c>
      <c r="B42" s="1257" t="s">
        <v>449</v>
      </c>
      <c r="C42" s="1235" t="s">
        <v>694</v>
      </c>
      <c r="D42" s="1236">
        <v>8119849</v>
      </c>
      <c r="E42" s="1241">
        <v>369000000</v>
      </c>
      <c r="F42" s="1241">
        <v>295000000</v>
      </c>
      <c r="G42" s="1241"/>
      <c r="H42" s="1241"/>
      <c r="I42" s="1241"/>
      <c r="J42" s="1239">
        <v>54000000</v>
      </c>
      <c r="K42" s="1239">
        <f t="shared" ref="K42:K45" si="31">L42+M42</f>
        <v>54000000</v>
      </c>
      <c r="L42" s="1239">
        <v>54000000</v>
      </c>
      <c r="M42" s="1239"/>
      <c r="N42" s="1239"/>
      <c r="O42" s="1239">
        <f>J42-K42-N42</f>
        <v>0</v>
      </c>
      <c r="P42" s="1241"/>
      <c r="Q42" s="1241"/>
      <c r="R42" s="1241"/>
      <c r="S42" s="1241"/>
      <c r="T42" s="1241"/>
      <c r="U42" s="1241">
        <f t="shared" si="28"/>
        <v>0</v>
      </c>
      <c r="V42" s="1241"/>
      <c r="W42" s="1241">
        <f>I42+L42+R42</f>
        <v>54000000</v>
      </c>
      <c r="X42" s="1241">
        <f>G42-H42-I42+M42+S42</f>
        <v>0</v>
      </c>
      <c r="Y42" s="1238">
        <f>F42-H42+K42+Q42-V42</f>
        <v>349000000</v>
      </c>
    </row>
    <row r="43" spans="1:26" s="350" customFormat="1" ht="33.75" customHeight="1" x14ac:dyDescent="0.25">
      <c r="A43" s="706">
        <v>2</v>
      </c>
      <c r="B43" s="1258" t="s">
        <v>709</v>
      </c>
      <c r="C43" s="1249"/>
      <c r="D43" s="1134"/>
      <c r="E43" s="1208">
        <f>E44</f>
        <v>369000000</v>
      </c>
      <c r="F43" s="1208">
        <f t="shared" ref="F43:X44" si="32">F44</f>
        <v>0</v>
      </c>
      <c r="G43" s="1208">
        <f t="shared" si="32"/>
        <v>0</v>
      </c>
      <c r="H43" s="1208">
        <f t="shared" si="32"/>
        <v>0</v>
      </c>
      <c r="I43" s="1208">
        <f t="shared" si="32"/>
        <v>0</v>
      </c>
      <c r="J43" s="1208">
        <f t="shared" si="32"/>
        <v>20000000</v>
      </c>
      <c r="K43" s="1208">
        <f t="shared" si="32"/>
        <v>6964895</v>
      </c>
      <c r="L43" s="1208">
        <f t="shared" si="32"/>
        <v>6964895</v>
      </c>
      <c r="M43" s="1208">
        <f t="shared" si="32"/>
        <v>0</v>
      </c>
      <c r="N43" s="1208">
        <f t="shared" si="32"/>
        <v>0</v>
      </c>
      <c r="O43" s="1208">
        <f t="shared" si="32"/>
        <v>13035105</v>
      </c>
      <c r="P43" s="1208">
        <f t="shared" si="32"/>
        <v>0</v>
      </c>
      <c r="Q43" s="1208">
        <f t="shared" si="32"/>
        <v>0</v>
      </c>
      <c r="R43" s="1208">
        <f t="shared" si="32"/>
        <v>0</v>
      </c>
      <c r="S43" s="1208">
        <f t="shared" si="32"/>
        <v>0</v>
      </c>
      <c r="T43" s="1208">
        <f t="shared" si="32"/>
        <v>0</v>
      </c>
      <c r="U43" s="1208">
        <f t="shared" si="32"/>
        <v>0</v>
      </c>
      <c r="V43" s="1208"/>
      <c r="W43" s="1208">
        <f t="shared" si="32"/>
        <v>6964895</v>
      </c>
      <c r="X43" s="1208">
        <f t="shared" si="32"/>
        <v>0</v>
      </c>
      <c r="Y43" s="1208">
        <f>Y44</f>
        <v>6964895</v>
      </c>
    </row>
    <row r="44" spans="1:26" s="350" customFormat="1" ht="30" customHeight="1" x14ac:dyDescent="0.25">
      <c r="A44" s="1252"/>
      <c r="B44" s="1253" t="s">
        <v>708</v>
      </c>
      <c r="C44" s="1259"/>
      <c r="D44" s="1255"/>
      <c r="E44" s="1213">
        <f>E45</f>
        <v>369000000</v>
      </c>
      <c r="F44" s="1213">
        <f t="shared" si="32"/>
        <v>0</v>
      </c>
      <c r="G44" s="1213">
        <f t="shared" si="32"/>
        <v>0</v>
      </c>
      <c r="H44" s="1213">
        <f t="shared" si="32"/>
        <v>0</v>
      </c>
      <c r="I44" s="1213">
        <f t="shared" si="32"/>
        <v>0</v>
      </c>
      <c r="J44" s="1213">
        <f t="shared" si="32"/>
        <v>20000000</v>
      </c>
      <c r="K44" s="1213">
        <f t="shared" si="32"/>
        <v>6964895</v>
      </c>
      <c r="L44" s="1213">
        <f t="shared" si="32"/>
        <v>6964895</v>
      </c>
      <c r="M44" s="1213">
        <f t="shared" si="32"/>
        <v>0</v>
      </c>
      <c r="N44" s="1213">
        <f t="shared" si="32"/>
        <v>0</v>
      </c>
      <c r="O44" s="1213">
        <f t="shared" si="32"/>
        <v>13035105</v>
      </c>
      <c r="P44" s="1213">
        <f t="shared" si="32"/>
        <v>0</v>
      </c>
      <c r="Q44" s="1213">
        <f t="shared" si="32"/>
        <v>0</v>
      </c>
      <c r="R44" s="1213">
        <f t="shared" si="32"/>
        <v>0</v>
      </c>
      <c r="S44" s="1213">
        <f t="shared" si="32"/>
        <v>0</v>
      </c>
      <c r="T44" s="1213">
        <f t="shared" si="32"/>
        <v>0</v>
      </c>
      <c r="U44" s="1213">
        <f t="shared" si="32"/>
        <v>0</v>
      </c>
      <c r="V44" s="1213"/>
      <c r="W44" s="1213">
        <f t="shared" si="32"/>
        <v>6964895</v>
      </c>
      <c r="X44" s="1213">
        <f t="shared" si="32"/>
        <v>0</v>
      </c>
      <c r="Y44" s="1213">
        <f t="shared" ref="Y44" si="33">Y45</f>
        <v>6964895</v>
      </c>
    </row>
    <row r="45" spans="1:26" s="350" customFormat="1" ht="51" customHeight="1" x14ac:dyDescent="0.25">
      <c r="A45" s="1260" t="s">
        <v>32</v>
      </c>
      <c r="B45" s="1261" t="s">
        <v>449</v>
      </c>
      <c r="C45" s="1262" t="s">
        <v>694</v>
      </c>
      <c r="D45" s="1223">
        <v>8119849</v>
      </c>
      <c r="E45" s="1172">
        <v>369000000</v>
      </c>
      <c r="F45" s="1172"/>
      <c r="G45" s="1172"/>
      <c r="H45" s="1172"/>
      <c r="I45" s="1172"/>
      <c r="J45" s="1263">
        <v>20000000</v>
      </c>
      <c r="K45" s="1263">
        <f t="shared" si="31"/>
        <v>6964895</v>
      </c>
      <c r="L45" s="1263">
        <v>6964895</v>
      </c>
      <c r="M45" s="1263"/>
      <c r="N45" s="1263"/>
      <c r="O45" s="1263">
        <f t="shared" ref="O45" si="34">J45-K45-N45</f>
        <v>13035105</v>
      </c>
      <c r="P45" s="1172"/>
      <c r="Q45" s="1172"/>
      <c r="R45" s="1172"/>
      <c r="S45" s="1172"/>
      <c r="T45" s="1172"/>
      <c r="U45" s="1172">
        <f>P45-Q45-T45</f>
        <v>0</v>
      </c>
      <c r="V45" s="1172"/>
      <c r="W45" s="1172">
        <f>I45+L45+R45</f>
        <v>6964895</v>
      </c>
      <c r="X45" s="1172">
        <f>G45-H45-I45+M45+S45</f>
        <v>0</v>
      </c>
      <c r="Y45" s="566">
        <f>F45-H45+K45+Q45-V45</f>
        <v>6964895</v>
      </c>
    </row>
    <row r="46" spans="1:26" s="350" customFormat="1" ht="19.5" customHeight="1" x14ac:dyDescent="0.25">
      <c r="A46" s="1264"/>
      <c r="B46" s="1265"/>
      <c r="C46" s="1266"/>
      <c r="D46" s="1267"/>
      <c r="E46" s="1268"/>
      <c r="F46" s="1268"/>
      <c r="G46" s="1268"/>
      <c r="H46" s="1268"/>
      <c r="I46" s="1268"/>
      <c r="J46" s="1269"/>
      <c r="K46" s="1269"/>
      <c r="L46" s="1269"/>
      <c r="M46" s="1269"/>
      <c r="N46" s="1269"/>
      <c r="O46" s="1269"/>
      <c r="P46" s="1268"/>
      <c r="Q46" s="1268"/>
      <c r="R46" s="1268"/>
      <c r="S46" s="1268"/>
      <c r="T46" s="1268"/>
      <c r="U46" s="1268"/>
      <c r="V46" s="1268"/>
      <c r="W46" s="1268"/>
      <c r="X46" s="1268"/>
      <c r="Y46" s="1270"/>
    </row>
    <row r="47" spans="1:26" s="1272" customFormat="1" ht="16.5" customHeight="1" x14ac:dyDescent="0.3">
      <c r="B47" s="1955"/>
      <c r="C47" s="1955"/>
      <c r="D47" s="1955"/>
      <c r="E47" s="1955"/>
      <c r="F47" s="1955"/>
      <c r="G47" s="1955"/>
      <c r="H47" s="1955"/>
      <c r="I47" s="1271"/>
      <c r="J47" s="1271"/>
      <c r="K47" s="1271"/>
      <c r="L47" s="1271"/>
      <c r="M47" s="1271"/>
      <c r="N47" s="1271"/>
      <c r="O47" s="1271"/>
      <c r="P47" s="1956" t="s">
        <v>653</v>
      </c>
      <c r="Q47" s="1956"/>
      <c r="R47" s="1956"/>
      <c r="S47" s="1956"/>
      <c r="T47" s="1956"/>
      <c r="U47" s="1956"/>
      <c r="V47" s="1956"/>
      <c r="W47" s="1956"/>
      <c r="X47" s="1956"/>
      <c r="Y47" s="1956"/>
      <c r="Z47" s="1271"/>
    </row>
    <row r="48" spans="1:26" s="1272" customFormat="1" ht="23.25" customHeight="1" x14ac:dyDescent="0.3">
      <c r="B48" s="1959" t="s">
        <v>1024</v>
      </c>
      <c r="C48" s="1959"/>
      <c r="D48" s="1959"/>
      <c r="E48" s="1959"/>
      <c r="F48" s="1959"/>
      <c r="G48" s="1959"/>
      <c r="H48" s="1959"/>
      <c r="I48" s="1273"/>
      <c r="J48" s="1273"/>
      <c r="K48" s="1273"/>
      <c r="L48" s="1273"/>
      <c r="M48" s="1273"/>
      <c r="N48" s="1273"/>
      <c r="O48" s="1273"/>
      <c r="P48" s="1960" t="s">
        <v>710</v>
      </c>
      <c r="Q48" s="1960"/>
      <c r="R48" s="1960"/>
      <c r="S48" s="1960"/>
      <c r="T48" s="1960"/>
      <c r="U48" s="1960"/>
      <c r="V48" s="1960"/>
      <c r="W48" s="1960"/>
      <c r="X48" s="1960"/>
      <c r="Y48" s="1960"/>
      <c r="Z48" s="1273"/>
    </row>
    <row r="49" spans="2:26" s="1272" customFormat="1" ht="16.5" customHeight="1" x14ac:dyDescent="0.3">
      <c r="B49" s="1665"/>
      <c r="C49" s="1665"/>
      <c r="D49" s="1274"/>
      <c r="F49" s="1178"/>
      <c r="G49" s="1178"/>
      <c r="H49" s="1275"/>
      <c r="I49" s="1178"/>
      <c r="J49" s="1178"/>
      <c r="K49" s="1178"/>
      <c r="L49" s="1178"/>
      <c r="M49" s="1178"/>
      <c r="N49" s="1178"/>
      <c r="O49" s="1178"/>
      <c r="P49" s="1958" t="s">
        <v>271</v>
      </c>
      <c r="Q49" s="1958"/>
      <c r="R49" s="1958"/>
      <c r="S49" s="1958"/>
      <c r="T49" s="1958"/>
      <c r="U49" s="1958"/>
      <c r="V49" s="1958"/>
      <c r="W49" s="1958"/>
      <c r="X49" s="1958"/>
      <c r="Y49" s="1958"/>
      <c r="Z49" s="1178"/>
    </row>
    <row r="50" spans="2:26" s="1272" customFormat="1" ht="73.5" customHeight="1" x14ac:dyDescent="0.3">
      <c r="B50" s="1180"/>
      <c r="C50" s="1180"/>
      <c r="F50" s="1178"/>
      <c r="G50" s="1178"/>
      <c r="H50" s="1178"/>
      <c r="I50" s="1178"/>
      <c r="J50" s="1178"/>
      <c r="K50" s="1178"/>
      <c r="L50" s="1178"/>
      <c r="M50" s="1178"/>
      <c r="P50" s="1958"/>
      <c r="Q50" s="1958"/>
      <c r="R50" s="1958"/>
      <c r="S50" s="1958"/>
      <c r="T50" s="1958"/>
      <c r="U50" s="1958"/>
      <c r="V50" s="1958"/>
      <c r="W50" s="1958"/>
      <c r="X50" s="1958"/>
    </row>
    <row r="51" spans="2:26" s="1272" customFormat="1" ht="27.75" customHeight="1" x14ac:dyDescent="0.3">
      <c r="B51" s="1180"/>
      <c r="C51" s="1180"/>
      <c r="F51" s="1664"/>
      <c r="G51" s="1664"/>
      <c r="H51" s="1664"/>
      <c r="I51" s="1664"/>
      <c r="J51" s="1664"/>
      <c r="K51" s="1664"/>
      <c r="L51" s="1664"/>
      <c r="M51" s="1664"/>
      <c r="P51" s="1664"/>
      <c r="Q51" s="1664"/>
      <c r="R51" s="1664"/>
      <c r="S51" s="1664"/>
      <c r="T51" s="1664"/>
      <c r="U51" s="1664"/>
      <c r="V51" s="1664"/>
      <c r="W51" s="1664"/>
      <c r="X51" s="1664"/>
    </row>
    <row r="52" spans="2:26" s="1272" customFormat="1" ht="20.25" x14ac:dyDescent="0.3">
      <c r="B52" s="1180"/>
      <c r="C52" s="1180"/>
      <c r="F52" s="1180"/>
      <c r="P52" s="1180"/>
    </row>
    <row r="53" spans="2:26" s="1272" customFormat="1" ht="20.25" x14ac:dyDescent="0.3">
      <c r="B53" s="1958"/>
      <c r="C53" s="1958"/>
      <c r="D53" s="1958"/>
      <c r="E53" s="1958"/>
      <c r="F53" s="1958"/>
      <c r="G53" s="1958"/>
      <c r="H53" s="1958"/>
      <c r="I53" s="1178"/>
      <c r="J53" s="1178"/>
      <c r="K53" s="1178"/>
      <c r="L53" s="1178"/>
      <c r="M53" s="1178"/>
      <c r="N53" s="1178"/>
      <c r="O53" s="1178"/>
      <c r="P53" s="1958" t="s">
        <v>459</v>
      </c>
      <c r="Q53" s="1958"/>
      <c r="R53" s="1958"/>
      <c r="S53" s="1958"/>
      <c r="T53" s="1958"/>
      <c r="U53" s="1958"/>
      <c r="V53" s="1958"/>
      <c r="W53" s="1958"/>
      <c r="X53" s="1958"/>
      <c r="Y53" s="1958"/>
      <c r="Z53" s="1178"/>
    </row>
    <row r="54" spans="2:26" s="1278" customFormat="1" ht="18.75" x14ac:dyDescent="0.3">
      <c r="B54" s="1276"/>
      <c r="C54" s="1276"/>
      <c r="D54" s="1276"/>
      <c r="E54" s="1276"/>
      <c r="F54" s="1276"/>
      <c r="G54" s="1276"/>
      <c r="H54" s="1276"/>
      <c r="I54" s="1277"/>
      <c r="J54" s="1277"/>
      <c r="K54" s="1277"/>
      <c r="L54" s="1277"/>
      <c r="M54" s="1277"/>
      <c r="N54" s="1277"/>
      <c r="O54" s="1277"/>
      <c r="P54" s="1276"/>
      <c r="Q54" s="1276"/>
      <c r="R54" s="1276"/>
      <c r="S54" s="1276"/>
      <c r="T54" s="1276"/>
      <c r="U54" s="1276"/>
      <c r="V54" s="1276"/>
      <c r="W54" s="1276"/>
      <c r="X54" s="1276"/>
      <c r="Y54" s="1276"/>
      <c r="Z54" s="1277"/>
    </row>
    <row r="55" spans="2:26" s="1278" customFormat="1" ht="20.25" x14ac:dyDescent="0.3">
      <c r="B55" s="1276"/>
      <c r="C55" s="1276"/>
      <c r="D55" s="1276"/>
      <c r="E55" s="1276"/>
      <c r="F55" s="1276"/>
      <c r="G55" s="1276"/>
      <c r="H55" s="1276"/>
      <c r="I55" s="1277"/>
      <c r="J55" s="1277"/>
      <c r="K55" s="1277"/>
      <c r="L55" s="1277"/>
      <c r="M55" s="1277"/>
      <c r="N55" s="1277"/>
      <c r="O55" s="1277"/>
      <c r="P55" s="1279"/>
      <c r="Q55" s="1279"/>
      <c r="R55" s="1279"/>
      <c r="S55" s="1279"/>
      <c r="T55" s="1279"/>
      <c r="U55" s="1279"/>
      <c r="V55" s="1279"/>
      <c r="W55" s="1279"/>
      <c r="X55" s="1279"/>
      <c r="Y55" s="1279"/>
      <c r="Z55" s="1277"/>
    </row>
    <row r="56" spans="2:26" s="1278" customFormat="1" ht="20.25" x14ac:dyDescent="0.3">
      <c r="B56" s="1276"/>
      <c r="C56" s="1276"/>
      <c r="D56" s="1276"/>
      <c r="E56" s="1276"/>
      <c r="F56" s="1276"/>
      <c r="G56" s="1276"/>
      <c r="H56" s="1276"/>
      <c r="I56" s="1277"/>
      <c r="J56" s="1277"/>
      <c r="K56" s="1277"/>
      <c r="L56" s="1277"/>
      <c r="M56" s="1277"/>
      <c r="N56" s="1277"/>
      <c r="O56" s="1277"/>
      <c r="P56" s="1279"/>
      <c r="Q56" s="1279"/>
      <c r="R56" s="1279"/>
      <c r="S56" s="1279"/>
      <c r="T56" s="1279"/>
      <c r="U56" s="1279"/>
      <c r="V56" s="1279"/>
      <c r="W56" s="1279"/>
      <c r="X56" s="1279"/>
      <c r="Y56" s="1279"/>
      <c r="Z56" s="1277"/>
    </row>
    <row r="57" spans="2:26" s="1278" customFormat="1" ht="20.25"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sheetData>
  <mergeCells count="34">
    <mergeCell ref="A1:H1"/>
    <mergeCell ref="R1:Y1"/>
    <mergeCell ref="A2:Y2"/>
    <mergeCell ref="A3:Y3"/>
    <mergeCell ref="A5:A7"/>
    <mergeCell ref="B5:B7"/>
    <mergeCell ref="C5:C7"/>
    <mergeCell ref="D5:D7"/>
    <mergeCell ref="E5:E7"/>
    <mergeCell ref="F5:G6"/>
    <mergeCell ref="H5:H7"/>
    <mergeCell ref="I5:I7"/>
    <mergeCell ref="B53:H53"/>
    <mergeCell ref="P53:Y53"/>
    <mergeCell ref="X5:X7"/>
    <mergeCell ref="Y5:Y7"/>
    <mergeCell ref="J6:J7"/>
    <mergeCell ref="K6:M6"/>
    <mergeCell ref="N6:N7"/>
    <mergeCell ref="O6:O7"/>
    <mergeCell ref="P6:P7"/>
    <mergeCell ref="Q6:S6"/>
    <mergeCell ref="T6:T7"/>
    <mergeCell ref="V5:V7"/>
    <mergeCell ref="U6:U7"/>
    <mergeCell ref="W5:W7"/>
    <mergeCell ref="B48:H48"/>
    <mergeCell ref="P48:Y48"/>
    <mergeCell ref="B47:H47"/>
    <mergeCell ref="P47:Y47"/>
    <mergeCell ref="J5:O5"/>
    <mergeCell ref="P5:U5"/>
    <mergeCell ref="P50:X50"/>
    <mergeCell ref="P49:Y4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zoomScale="115" zoomScaleNormal="115" zoomScaleSheetLayoutView="100" workbookViewId="0">
      <selection activeCell="F39" sqref="F39"/>
    </sheetView>
  </sheetViews>
  <sheetFormatPr defaultRowHeight="15" x14ac:dyDescent="0.25"/>
  <cols>
    <col min="1" max="1" width="4.5703125" customWidth="1"/>
    <col min="2" max="2" width="37.28515625" customWidth="1"/>
    <col min="3" max="3" width="13.28515625" style="92" customWidth="1"/>
    <col min="4" max="4" width="12.28515625" style="92" customWidth="1"/>
    <col min="5" max="5" width="13.28515625" style="365" customWidth="1"/>
    <col min="6" max="6" width="12.5703125" style="365" customWidth="1"/>
    <col min="7" max="8" width="10.140625" customWidth="1"/>
  </cols>
  <sheetData>
    <row r="1" spans="1:9" ht="15.75" customHeight="1" x14ac:dyDescent="0.25">
      <c r="A1" s="1762" t="str">
        <f>'48N'!A1</f>
        <v>UBND PHƯỜNG ĐỨC XUÂN</v>
      </c>
      <c r="B1" s="1762"/>
      <c r="C1" s="1762"/>
      <c r="D1" s="1762"/>
      <c r="G1" s="1770" t="s">
        <v>454</v>
      </c>
      <c r="H1" s="1770"/>
    </row>
    <row r="2" spans="1:9" x14ac:dyDescent="0.25">
      <c r="A2" s="118"/>
      <c r="B2" s="118"/>
      <c r="C2" s="882"/>
      <c r="D2" s="882"/>
    </row>
    <row r="3" spans="1:9" ht="30.75" customHeight="1" x14ac:dyDescent="0.25">
      <c r="A3" s="1763" t="s">
        <v>537</v>
      </c>
      <c r="B3" s="1763"/>
      <c r="C3" s="1763"/>
      <c r="D3" s="1763"/>
      <c r="E3" s="1763"/>
      <c r="F3" s="1763"/>
      <c r="G3" s="1763"/>
      <c r="H3" s="1763"/>
    </row>
    <row r="4" spans="1:9" ht="21" customHeight="1" x14ac:dyDescent="0.25">
      <c r="A4" s="1769" t="str">
        <f>'49N'!A4:E4</f>
        <v>(Kèm theo Tờ trình số    /TTr-KTHT&amp;ĐT ngày      /4/2026 của phòng KTHT&amp;ĐT phường Đức Xuân)</v>
      </c>
      <c r="B4" s="1769"/>
      <c r="C4" s="1769"/>
      <c r="D4" s="1769"/>
      <c r="E4" s="1769"/>
      <c r="F4" s="1769"/>
      <c r="G4" s="1769"/>
      <c r="H4" s="1769"/>
    </row>
    <row r="5" spans="1:9" ht="9.75" customHeight="1" x14ac:dyDescent="0.25">
      <c r="A5" s="172"/>
      <c r="B5" s="172"/>
      <c r="C5" s="977"/>
      <c r="D5" s="977"/>
      <c r="E5" s="393"/>
      <c r="F5" s="393"/>
      <c r="G5" s="879"/>
      <c r="H5" s="172"/>
    </row>
    <row r="6" spans="1:9" x14ac:dyDescent="0.25">
      <c r="F6" s="1771" t="s">
        <v>563</v>
      </c>
      <c r="G6" s="1771"/>
      <c r="H6" s="1771"/>
    </row>
    <row r="7" spans="1:9" s="9" customFormat="1" ht="16.5" customHeight="1" x14ac:dyDescent="0.2">
      <c r="A7" s="1764" t="s">
        <v>1</v>
      </c>
      <c r="B7" s="1764" t="s">
        <v>2</v>
      </c>
      <c r="C7" s="1765" t="s">
        <v>3</v>
      </c>
      <c r="D7" s="1766"/>
      <c r="E7" s="1767" t="s">
        <v>169</v>
      </c>
      <c r="F7" s="1768"/>
      <c r="G7" s="1767" t="s">
        <v>183</v>
      </c>
      <c r="H7" s="1768"/>
    </row>
    <row r="8" spans="1:9" s="9" customFormat="1" ht="26.25" customHeight="1" x14ac:dyDescent="0.2">
      <c r="A8" s="1764"/>
      <c r="B8" s="1764"/>
      <c r="C8" s="459" t="s">
        <v>189</v>
      </c>
      <c r="D8" s="459" t="s">
        <v>235</v>
      </c>
      <c r="E8" s="380" t="s">
        <v>189</v>
      </c>
      <c r="F8" s="380" t="s">
        <v>235</v>
      </c>
      <c r="G8" s="880" t="s">
        <v>189</v>
      </c>
      <c r="H8" s="31" t="s">
        <v>235</v>
      </c>
    </row>
    <row r="9" spans="1:9" s="9" customFormat="1" ht="12.75" x14ac:dyDescent="0.2">
      <c r="A9" s="31" t="s">
        <v>4</v>
      </c>
      <c r="B9" s="31" t="s">
        <v>5</v>
      </c>
      <c r="C9" s="459">
        <v>1</v>
      </c>
      <c r="D9" s="459">
        <v>2</v>
      </c>
      <c r="E9" s="380">
        <v>3</v>
      </c>
      <c r="F9" s="380">
        <v>4</v>
      </c>
      <c r="G9" s="880" t="s">
        <v>190</v>
      </c>
      <c r="H9" s="31" t="s">
        <v>191</v>
      </c>
    </row>
    <row r="10" spans="1:9" s="41" customFormat="1" ht="21" customHeight="1" x14ac:dyDescent="0.2">
      <c r="A10" s="50"/>
      <c r="B10" s="48" t="s">
        <v>321</v>
      </c>
      <c r="C10" s="978">
        <f>SUM(C11,C38,C39)</f>
        <v>158083000</v>
      </c>
      <c r="D10" s="978">
        <f>SUM(D11,D38,D39)</f>
        <v>158083000</v>
      </c>
      <c r="E10" s="392">
        <f>SUM(E11,E38,E39)</f>
        <v>64658171.024999991</v>
      </c>
      <c r="F10" s="392">
        <f>SUM(F11,F38,F39)</f>
        <v>4284220.5989999995</v>
      </c>
      <c r="G10" s="980">
        <f>E10/C10</f>
        <v>0.4090140687170663</v>
      </c>
      <c r="H10" s="980">
        <f>F10/D10</f>
        <v>2.7101083601652292E-2</v>
      </c>
    </row>
    <row r="11" spans="1:9" s="41" customFormat="1" ht="14.25" x14ac:dyDescent="0.2">
      <c r="A11" s="50" t="s">
        <v>4</v>
      </c>
      <c r="B11" s="48" t="s">
        <v>192</v>
      </c>
      <c r="C11" s="979">
        <f t="shared" ref="C11:D11" si="0">SUM(C12,C33,C34,C35,C36,C37)</f>
        <v>158083000</v>
      </c>
      <c r="D11" s="979">
        <f t="shared" si="0"/>
        <v>158083000</v>
      </c>
      <c r="E11" s="392">
        <f>SUM(E12,E33,E34,E35,E36,E37)</f>
        <v>64658171.024999991</v>
      </c>
      <c r="F11" s="392">
        <f>SUM(F12,F33,F34,F35,F36,F37)</f>
        <v>329320.12699999998</v>
      </c>
      <c r="G11" s="980">
        <f t="shared" ref="G11:G32" si="1">E11/C11</f>
        <v>0.4090140687170663</v>
      </c>
      <c r="H11" s="980">
        <f t="shared" ref="H11:H32" si="2">F11/D11</f>
        <v>2.0832102566373358E-3</v>
      </c>
    </row>
    <row r="12" spans="1:9" s="1" customFormat="1" x14ac:dyDescent="0.25">
      <c r="A12" s="981" t="s">
        <v>6</v>
      </c>
      <c r="B12" s="22" t="s">
        <v>7</v>
      </c>
      <c r="C12" s="982">
        <f>SUM(C13,C16,C20,C25,C26,C27,C28,C29,C30,C32)</f>
        <v>158083000</v>
      </c>
      <c r="D12" s="982">
        <f>SUM(D13,D16,D20,D25,D26,D27,D28,D29,D30,D32)</f>
        <v>158083000</v>
      </c>
      <c r="E12" s="983">
        <f>SUM(E13,E16,E20,E25,E26,E27,E28,E29,E30,E31,E32)</f>
        <v>63910971.024999991</v>
      </c>
      <c r="F12" s="983">
        <f>SUM(F13,F16,F20,F25,F26,F27,F28,F29,F30,F31,F32)</f>
        <v>329320.12699999998</v>
      </c>
      <c r="G12" s="984">
        <f t="shared" si="1"/>
        <v>0.40428743777003212</v>
      </c>
      <c r="H12" s="984">
        <f t="shared" si="2"/>
        <v>2.0832102566373358E-3</v>
      </c>
    </row>
    <row r="13" spans="1:9" s="1" customFormat="1" ht="28.5" x14ac:dyDescent="0.25">
      <c r="A13" s="24">
        <v>1</v>
      </c>
      <c r="B13" s="25" t="s">
        <v>290</v>
      </c>
      <c r="C13" s="613">
        <f>SUM(C14:C15)</f>
        <v>75000</v>
      </c>
      <c r="D13" s="613">
        <f>SUM(D14:D15)</f>
        <v>75000</v>
      </c>
      <c r="E13" s="394">
        <f>SUM(E14:E15)</f>
        <v>3000</v>
      </c>
      <c r="F13" s="394">
        <f>SUM(F14:F15)</f>
        <v>0</v>
      </c>
      <c r="G13" s="985">
        <f t="shared" si="1"/>
        <v>0.04</v>
      </c>
      <c r="H13" s="985">
        <f t="shared" si="2"/>
        <v>0</v>
      </c>
      <c r="I13" s="66"/>
    </row>
    <row r="14" spans="1:9" s="1" customFormat="1" ht="18" customHeight="1" x14ac:dyDescent="0.25">
      <c r="A14" s="24" t="s">
        <v>273</v>
      </c>
      <c r="B14" s="27" t="s">
        <v>283</v>
      </c>
      <c r="C14" s="612">
        <v>75000</v>
      </c>
      <c r="D14" s="612">
        <v>75000</v>
      </c>
      <c r="E14" s="378">
        <f>'60'!E13</f>
        <v>1500</v>
      </c>
      <c r="F14" s="378"/>
      <c r="G14" s="985">
        <f t="shared" si="1"/>
        <v>0.02</v>
      </c>
      <c r="H14" s="985">
        <f t="shared" si="2"/>
        <v>0</v>
      </c>
    </row>
    <row r="15" spans="1:9" s="1" customFormat="1" ht="18" customHeight="1" x14ac:dyDescent="0.25">
      <c r="A15" s="24" t="s">
        <v>273</v>
      </c>
      <c r="B15" s="27" t="s">
        <v>17</v>
      </c>
      <c r="C15" s="612"/>
      <c r="D15" s="612"/>
      <c r="E15" s="378">
        <f>'60'!E14</f>
        <v>1500</v>
      </c>
      <c r="F15" s="986"/>
      <c r="G15" s="987"/>
      <c r="H15" s="987"/>
    </row>
    <row r="16" spans="1:9" s="1" customFormat="1" ht="28.5" x14ac:dyDescent="0.25">
      <c r="A16" s="24">
        <v>2</v>
      </c>
      <c r="B16" s="25" t="s">
        <v>291</v>
      </c>
      <c r="C16" s="613">
        <f>SUM(C17:C19)</f>
        <v>170000</v>
      </c>
      <c r="D16" s="613">
        <f>SUM(D17:D19)</f>
        <v>170000</v>
      </c>
      <c r="E16" s="394">
        <f>SUM(E17:E19)</f>
        <v>19155.170999999998</v>
      </c>
      <c r="F16" s="394">
        <f>SUM(F17:F19)</f>
        <v>0</v>
      </c>
      <c r="G16" s="987">
        <f t="shared" si="1"/>
        <v>0.11267747647058822</v>
      </c>
      <c r="H16" s="987">
        <f t="shared" si="2"/>
        <v>0</v>
      </c>
    </row>
    <row r="17" spans="1:9" s="1" customFormat="1" ht="22.5" customHeight="1" x14ac:dyDescent="0.25">
      <c r="A17" s="24" t="s">
        <v>273</v>
      </c>
      <c r="B17" s="27" t="s">
        <v>283</v>
      </c>
      <c r="C17" s="612">
        <v>60000</v>
      </c>
      <c r="D17" s="612">
        <v>60000</v>
      </c>
      <c r="E17" s="378">
        <f>'60'!E16</f>
        <v>7249.8440000000001</v>
      </c>
      <c r="F17" s="378"/>
      <c r="G17" s="985">
        <f t="shared" si="1"/>
        <v>0.12083073333333333</v>
      </c>
      <c r="H17" s="985">
        <f t="shared" si="2"/>
        <v>0</v>
      </c>
    </row>
    <row r="18" spans="1:9" s="1" customFormat="1" ht="22.5" customHeight="1" x14ac:dyDescent="0.25">
      <c r="A18" s="24" t="s">
        <v>273</v>
      </c>
      <c r="B18" s="27" t="s">
        <v>17</v>
      </c>
      <c r="C18" s="612">
        <v>60000</v>
      </c>
      <c r="D18" s="612">
        <v>60000</v>
      </c>
      <c r="E18" s="378">
        <f>'60'!E17</f>
        <v>11905.326999999999</v>
      </c>
      <c r="F18" s="378"/>
      <c r="G18" s="985">
        <f t="shared" si="1"/>
        <v>0.19842211666666665</v>
      </c>
      <c r="H18" s="985">
        <f t="shared" si="2"/>
        <v>0</v>
      </c>
    </row>
    <row r="19" spans="1:9" s="1" customFormat="1" ht="22.5" customHeight="1" x14ac:dyDescent="0.25">
      <c r="A19" s="24" t="s">
        <v>273</v>
      </c>
      <c r="B19" s="27" t="s">
        <v>18</v>
      </c>
      <c r="C19" s="612">
        <v>50000</v>
      </c>
      <c r="D19" s="612">
        <v>50000</v>
      </c>
      <c r="E19" s="378">
        <f>'60'!E18</f>
        <v>0</v>
      </c>
      <c r="F19" s="378"/>
      <c r="G19" s="985">
        <f t="shared" si="1"/>
        <v>0</v>
      </c>
      <c r="H19" s="985">
        <f t="shared" si="2"/>
        <v>0</v>
      </c>
    </row>
    <row r="20" spans="1:9" s="1" customFormat="1" ht="28.5" x14ac:dyDescent="0.25">
      <c r="A20" s="24">
        <v>3</v>
      </c>
      <c r="B20" s="25" t="s">
        <v>292</v>
      </c>
      <c r="C20" s="613">
        <f>SUM(C21:C24)</f>
        <v>20182000</v>
      </c>
      <c r="D20" s="613">
        <f>SUM(D21:D24)</f>
        <v>20182000</v>
      </c>
      <c r="E20" s="394">
        <f>SUM(E21:E24)</f>
        <v>22237139.019999996</v>
      </c>
      <c r="F20" s="394">
        <f>SUM(F21:F24)</f>
        <v>0</v>
      </c>
      <c r="G20" s="987">
        <f t="shared" si="1"/>
        <v>1.1018302953126546</v>
      </c>
      <c r="H20" s="987">
        <f t="shared" si="2"/>
        <v>0</v>
      </c>
    </row>
    <row r="21" spans="1:9" s="1" customFormat="1" ht="18.75" customHeight="1" x14ac:dyDescent="0.25">
      <c r="A21" s="24" t="s">
        <v>273</v>
      </c>
      <c r="B21" s="27" t="s">
        <v>283</v>
      </c>
      <c r="C21" s="612">
        <v>17710000</v>
      </c>
      <c r="D21" s="612">
        <v>17710000</v>
      </c>
      <c r="E21" s="378">
        <f>'60'!E20</f>
        <v>20081648.862</v>
      </c>
      <c r="F21" s="378"/>
      <c r="G21" s="985">
        <f t="shared" si="1"/>
        <v>1.133915802484472</v>
      </c>
      <c r="H21" s="985">
        <f t="shared" si="2"/>
        <v>0</v>
      </c>
    </row>
    <row r="22" spans="1:9" s="1" customFormat="1" ht="18.75" customHeight="1" x14ac:dyDescent="0.25">
      <c r="A22" s="24" t="s">
        <v>273</v>
      </c>
      <c r="B22" s="27" t="s">
        <v>17</v>
      </c>
      <c r="C22" s="612">
        <v>750000</v>
      </c>
      <c r="D22" s="612">
        <v>750000</v>
      </c>
      <c r="E22" s="378">
        <f>'60'!E21</f>
        <v>1735698.452</v>
      </c>
      <c r="F22" s="378"/>
      <c r="G22" s="985">
        <f t="shared" si="1"/>
        <v>2.3142646026666669</v>
      </c>
      <c r="H22" s="985">
        <f t="shared" si="2"/>
        <v>0</v>
      </c>
    </row>
    <row r="23" spans="1:9" s="1" customFormat="1" ht="18.75" customHeight="1" x14ac:dyDescent="0.25">
      <c r="A23" s="24" t="s">
        <v>273</v>
      </c>
      <c r="B23" s="27" t="s">
        <v>293</v>
      </c>
      <c r="C23" s="612">
        <v>65000</v>
      </c>
      <c r="D23" s="612">
        <v>65000</v>
      </c>
      <c r="E23" s="378">
        <f>'60'!E22</f>
        <v>116742.933</v>
      </c>
      <c r="F23" s="378"/>
      <c r="G23" s="985">
        <f t="shared" si="1"/>
        <v>1.7960451230769232</v>
      </c>
      <c r="H23" s="985">
        <f t="shared" si="2"/>
        <v>0</v>
      </c>
      <c r="I23" s="66"/>
    </row>
    <row r="24" spans="1:9" s="1" customFormat="1" ht="18.75" customHeight="1" x14ac:dyDescent="0.25">
      <c r="A24" s="24" t="s">
        <v>273</v>
      </c>
      <c r="B24" s="27" t="s">
        <v>18</v>
      </c>
      <c r="C24" s="612">
        <v>1657000</v>
      </c>
      <c r="D24" s="612">
        <v>1657000</v>
      </c>
      <c r="E24" s="378">
        <f>'60'!E23</f>
        <v>303048.77299999999</v>
      </c>
      <c r="F24" s="378"/>
      <c r="G24" s="985">
        <f t="shared" si="1"/>
        <v>0.18289002595051296</v>
      </c>
      <c r="H24" s="985">
        <f t="shared" si="2"/>
        <v>0</v>
      </c>
    </row>
    <row r="25" spans="1:9" s="41" customFormat="1" ht="18.75" customHeight="1" x14ac:dyDescent="0.2">
      <c r="A25" s="63">
        <v>4</v>
      </c>
      <c r="B25" s="64" t="s">
        <v>9</v>
      </c>
      <c r="C25" s="613">
        <v>6397000</v>
      </c>
      <c r="D25" s="613">
        <v>6397000</v>
      </c>
      <c r="E25" s="394">
        <f>'60'!E24</f>
        <v>7192244.7400000002</v>
      </c>
      <c r="F25" s="394"/>
      <c r="G25" s="987">
        <f t="shared" si="1"/>
        <v>1.1243152634047211</v>
      </c>
      <c r="H25" s="987">
        <f t="shared" si="2"/>
        <v>0</v>
      </c>
    </row>
    <row r="26" spans="1:9" s="41" customFormat="1" ht="18.75" customHeight="1" x14ac:dyDescent="0.2">
      <c r="A26" s="63">
        <v>5</v>
      </c>
      <c r="B26" s="64" t="s">
        <v>10</v>
      </c>
      <c r="C26" s="613">
        <v>10800000</v>
      </c>
      <c r="D26" s="613">
        <v>10800000</v>
      </c>
      <c r="E26" s="394">
        <f>'60'!E25</f>
        <v>14350814.307</v>
      </c>
      <c r="F26" s="394"/>
      <c r="G26" s="987">
        <f t="shared" si="1"/>
        <v>1.3287791025</v>
      </c>
      <c r="H26" s="987">
        <f t="shared" si="2"/>
        <v>0</v>
      </c>
    </row>
    <row r="27" spans="1:9" s="41" customFormat="1" ht="18.75" customHeight="1" x14ac:dyDescent="0.2">
      <c r="A27" s="63">
        <v>6</v>
      </c>
      <c r="B27" s="64" t="s">
        <v>193</v>
      </c>
      <c r="C27" s="613">
        <v>2487000</v>
      </c>
      <c r="D27" s="613">
        <v>2487000</v>
      </c>
      <c r="E27" s="394">
        <f>'60'!E26</f>
        <v>1947297.774</v>
      </c>
      <c r="F27" s="394"/>
      <c r="G27" s="987">
        <f t="shared" si="1"/>
        <v>0.78299066103739445</v>
      </c>
      <c r="H27" s="987">
        <f t="shared" si="2"/>
        <v>0</v>
      </c>
    </row>
    <row r="28" spans="1:9" s="1" customFormat="1" ht="18.75" customHeight="1" x14ac:dyDescent="0.25">
      <c r="A28" s="24">
        <v>7</v>
      </c>
      <c r="B28" s="25" t="s">
        <v>22</v>
      </c>
      <c r="C28" s="613"/>
      <c r="D28" s="613"/>
      <c r="E28" s="394">
        <f>'60'!E27</f>
        <v>0</v>
      </c>
      <c r="F28" s="394">
        <f>'60'!E27</f>
        <v>0</v>
      </c>
      <c r="G28" s="987"/>
      <c r="H28" s="987"/>
    </row>
    <row r="29" spans="1:9" s="1" customFormat="1" ht="18.75" customHeight="1" x14ac:dyDescent="0.25">
      <c r="A29" s="24">
        <v>8</v>
      </c>
      <c r="B29" s="25" t="s">
        <v>21</v>
      </c>
      <c r="C29" s="613">
        <v>240000</v>
      </c>
      <c r="D29" s="613">
        <v>240000</v>
      </c>
      <c r="E29" s="394">
        <f>'60'!E28</f>
        <v>370127.70199999999</v>
      </c>
      <c r="F29" s="394"/>
      <c r="G29" s="987">
        <f t="shared" si="1"/>
        <v>1.5421987583333332</v>
      </c>
      <c r="H29" s="987">
        <f t="shared" si="2"/>
        <v>0</v>
      </c>
    </row>
    <row r="30" spans="1:9" s="1" customFormat="1" ht="18.75" customHeight="1" x14ac:dyDescent="0.25">
      <c r="A30" s="24">
        <v>9</v>
      </c>
      <c r="B30" s="25" t="s">
        <v>23</v>
      </c>
      <c r="C30" s="613">
        <v>116300000</v>
      </c>
      <c r="D30" s="613">
        <v>116300000</v>
      </c>
      <c r="E30" s="394">
        <f>'60'!E29</f>
        <v>15647005.002</v>
      </c>
      <c r="F30" s="394"/>
      <c r="G30" s="987">
        <f t="shared" si="1"/>
        <v>0.13454002581255375</v>
      </c>
      <c r="H30" s="987">
        <f t="shared" si="2"/>
        <v>0</v>
      </c>
    </row>
    <row r="31" spans="1:9" s="1" customFormat="1" ht="27.75" customHeight="1" x14ac:dyDescent="0.25">
      <c r="A31" s="24">
        <v>10</v>
      </c>
      <c r="B31" s="25" t="s">
        <v>351</v>
      </c>
      <c r="C31" s="613"/>
      <c r="D31" s="613"/>
      <c r="E31" s="394">
        <f>'60'!D30</f>
        <v>0</v>
      </c>
      <c r="F31" s="394"/>
      <c r="G31" s="987"/>
      <c r="H31" s="987"/>
    </row>
    <row r="32" spans="1:9" s="1" customFormat="1" ht="18.75" customHeight="1" x14ac:dyDescent="0.25">
      <c r="A32" s="24">
        <v>11</v>
      </c>
      <c r="B32" s="25" t="s">
        <v>11</v>
      </c>
      <c r="C32" s="613">
        <v>1432000</v>
      </c>
      <c r="D32" s="613">
        <v>1432000</v>
      </c>
      <c r="E32" s="394">
        <f>'60'!E31</f>
        <v>2144187.3090000004</v>
      </c>
      <c r="F32" s="394">
        <f>'60'!I31</f>
        <v>329320.12699999998</v>
      </c>
      <c r="G32" s="987">
        <f t="shared" si="1"/>
        <v>1.4973375062849164</v>
      </c>
      <c r="H32" s="987">
        <f t="shared" si="2"/>
        <v>0.22997215572625695</v>
      </c>
    </row>
    <row r="33" spans="1:8" s="1" customFormat="1" ht="18.75" customHeight="1" x14ac:dyDescent="0.25">
      <c r="A33" s="24" t="s">
        <v>12</v>
      </c>
      <c r="B33" s="25" t="s">
        <v>13</v>
      </c>
      <c r="C33" s="613"/>
      <c r="D33" s="613"/>
      <c r="E33" s="395"/>
      <c r="F33" s="395"/>
      <c r="G33" s="987"/>
      <c r="H33" s="987"/>
    </row>
    <row r="34" spans="1:8" s="1" customFormat="1" ht="18.75" customHeight="1" x14ac:dyDescent="0.25">
      <c r="A34" s="24" t="s">
        <v>19</v>
      </c>
      <c r="B34" s="25" t="s">
        <v>194</v>
      </c>
      <c r="C34" s="613"/>
      <c r="D34" s="613"/>
      <c r="E34" s="395"/>
      <c r="F34" s="395"/>
      <c r="G34" s="987"/>
      <c r="H34" s="987"/>
    </row>
    <row r="35" spans="1:8" s="1" customFormat="1" ht="18.75" customHeight="1" x14ac:dyDescent="0.25">
      <c r="A35" s="24" t="s">
        <v>20</v>
      </c>
      <c r="B35" s="25" t="s">
        <v>327</v>
      </c>
      <c r="C35" s="613"/>
      <c r="D35" s="613"/>
      <c r="E35" s="395"/>
      <c r="F35" s="395"/>
      <c r="G35" s="987"/>
      <c r="H35" s="987"/>
    </row>
    <row r="36" spans="1:8" s="16" customFormat="1" ht="18.75" customHeight="1" x14ac:dyDescent="0.25">
      <c r="A36" s="833" t="s">
        <v>24</v>
      </c>
      <c r="B36" s="988" t="s">
        <v>96</v>
      </c>
      <c r="C36" s="613"/>
      <c r="D36" s="613"/>
      <c r="E36" s="989">
        <f>'60'!E35</f>
        <v>747200</v>
      </c>
      <c r="F36" s="989">
        <f>'60'!I35</f>
        <v>0</v>
      </c>
      <c r="G36" s="987"/>
      <c r="H36" s="987"/>
    </row>
    <row r="37" spans="1:8" s="16" customFormat="1" ht="18.75" customHeight="1" x14ac:dyDescent="0.25">
      <c r="A37" s="990" t="s">
        <v>46</v>
      </c>
      <c r="B37" s="73" t="s">
        <v>456</v>
      </c>
      <c r="C37" s="991"/>
      <c r="D37" s="991"/>
      <c r="E37" s="992">
        <f>'60'!E36</f>
        <v>0</v>
      </c>
      <c r="F37" s="992"/>
      <c r="G37" s="993"/>
      <c r="H37" s="993"/>
    </row>
    <row r="38" spans="1:8" s="1" customFormat="1" ht="20.25" customHeight="1" x14ac:dyDescent="0.25">
      <c r="A38" s="174" t="s">
        <v>5</v>
      </c>
      <c r="B38" s="190" t="s">
        <v>195</v>
      </c>
      <c r="C38" s="978"/>
      <c r="D38" s="978"/>
      <c r="E38" s="392"/>
      <c r="F38" s="392">
        <f>'60'!I45</f>
        <v>104011.51</v>
      </c>
      <c r="G38" s="980"/>
      <c r="H38" s="980"/>
    </row>
    <row r="39" spans="1:8" s="1" customFormat="1" ht="28.5" x14ac:dyDescent="0.25">
      <c r="A39" s="174" t="s">
        <v>42</v>
      </c>
      <c r="B39" s="190" t="s">
        <v>196</v>
      </c>
      <c r="C39" s="978"/>
      <c r="D39" s="978"/>
      <c r="E39" s="392"/>
      <c r="F39" s="1506">
        <f>'60'!I44</f>
        <v>3850888.9619999998</v>
      </c>
      <c r="G39" s="980"/>
      <c r="H39" s="980"/>
    </row>
  </sheetData>
  <mergeCells count="10">
    <mergeCell ref="A1:D1"/>
    <mergeCell ref="A3:H3"/>
    <mergeCell ref="A7:A8"/>
    <mergeCell ref="B7:B8"/>
    <mergeCell ref="C7:D7"/>
    <mergeCell ref="E7:F7"/>
    <mergeCell ref="A4:H4"/>
    <mergeCell ref="G7:H7"/>
    <mergeCell ref="G1:H1"/>
    <mergeCell ref="F6:H6"/>
  </mergeCells>
  <printOptions horizontalCentered="1"/>
  <pageMargins left="0.2" right="0.21" top="0.70866141732283505" bottom="0.78740157480314998" header="0.31496062992126" footer="0.31496062992126"/>
  <pageSetup paperSize="9" scale="84" firstPageNumber="14" orientation="portrait" useFirstPageNumber="1"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election activeCell="C21" sqref="C21"/>
    </sheetView>
  </sheetViews>
  <sheetFormatPr defaultRowHeight="15" x14ac:dyDescent="0.25"/>
  <cols>
    <col min="1" max="1" width="6.28515625" customWidth="1"/>
    <col min="2" max="2" width="42.7109375" customWidth="1"/>
    <col min="3" max="3" width="12.5703125" customWidth="1"/>
    <col min="4" max="4" width="14.85546875" customWidth="1"/>
    <col min="5" max="5" width="12.7109375" customWidth="1"/>
    <col min="6" max="6" width="9.140625" hidden="1" customWidth="1"/>
  </cols>
  <sheetData>
    <row r="1" spans="1:8" ht="15.75" customHeight="1" x14ac:dyDescent="0.25">
      <c r="A1" s="20" t="str">
        <f>'48N'!A1</f>
        <v>UBND PHƯỜNG ĐỨC XUÂN</v>
      </c>
      <c r="D1" s="1770" t="s">
        <v>971</v>
      </c>
      <c r="E1" s="1770"/>
    </row>
    <row r="2" spans="1:8" ht="9" customHeight="1" x14ac:dyDescent="0.25">
      <c r="A2" s="20"/>
      <c r="E2" s="7"/>
    </row>
    <row r="3" spans="1:8" ht="21.75" customHeight="1" x14ac:dyDescent="0.25">
      <c r="A3" s="1844" t="s">
        <v>492</v>
      </c>
      <c r="B3" s="1844"/>
      <c r="C3" s="1844"/>
      <c r="D3" s="1844"/>
      <c r="E3" s="1844"/>
      <c r="H3" s="327"/>
    </row>
    <row r="4" spans="1:8" ht="21.75" customHeight="1" x14ac:dyDescent="0.25">
      <c r="A4" s="1844" t="s">
        <v>250</v>
      </c>
      <c r="B4" s="1844"/>
      <c r="C4" s="1844"/>
      <c r="D4" s="1844"/>
      <c r="E4" s="1844"/>
    </row>
    <row r="5" spans="1:8" ht="15.75" x14ac:dyDescent="0.25">
      <c r="A5" s="1968" t="str">
        <f>'48N'!A4:F4</f>
        <v>(Kèm theo Tờ trình số    /TTr-KTHT&amp;ĐT ngày      /4/2026 của phòng KTHT&amp;ĐT phường Đức Xuân)</v>
      </c>
      <c r="B5" s="1968"/>
      <c r="C5" s="1968"/>
      <c r="D5" s="1968"/>
      <c r="E5" s="1968"/>
    </row>
    <row r="6" spans="1:8" ht="15.75" x14ac:dyDescent="0.25">
      <c r="A6" s="155"/>
      <c r="B6" s="155"/>
      <c r="C6" s="155"/>
      <c r="D6" s="155"/>
      <c r="E6" s="155"/>
    </row>
    <row r="7" spans="1:8" ht="15.75" x14ac:dyDescent="0.25">
      <c r="E7" s="6" t="s">
        <v>427</v>
      </c>
    </row>
    <row r="8" spans="1:8" ht="39" customHeight="1" x14ac:dyDescent="0.25">
      <c r="A8" s="13" t="s">
        <v>1</v>
      </c>
      <c r="B8" s="13" t="s">
        <v>2</v>
      </c>
      <c r="C8" s="83" t="s">
        <v>486</v>
      </c>
      <c r="D8" s="83" t="s">
        <v>487</v>
      </c>
      <c r="E8" s="13" t="s">
        <v>183</v>
      </c>
    </row>
    <row r="9" spans="1:8" s="14" customFormat="1" ht="20.25" customHeight="1" x14ac:dyDescent="0.2">
      <c r="A9" s="8" t="s">
        <v>4</v>
      </c>
      <c r="B9" s="8" t="s">
        <v>5</v>
      </c>
      <c r="C9" s="8">
        <v>1</v>
      </c>
      <c r="D9" s="8">
        <v>2</v>
      </c>
      <c r="E9" s="8" t="s">
        <v>197</v>
      </c>
    </row>
    <row r="10" spans="1:8" s="1" customFormat="1" ht="22.5" customHeight="1" x14ac:dyDescent="0.25">
      <c r="A10" s="23"/>
      <c r="B10" s="981" t="s">
        <v>31</v>
      </c>
      <c r="C10" s="103">
        <f>C12+C15</f>
        <v>955000</v>
      </c>
      <c r="D10" s="103">
        <f>D12+D15</f>
        <v>731508.5</v>
      </c>
      <c r="E10" s="209">
        <f>D10/C10%</f>
        <v>76.597748691099483</v>
      </c>
    </row>
    <row r="11" spans="1:8" s="1" customFormat="1" ht="22.5" customHeight="1" x14ac:dyDescent="0.25">
      <c r="A11" s="51"/>
      <c r="B11" s="1603" t="s">
        <v>972</v>
      </c>
      <c r="C11" s="1601"/>
      <c r="D11" s="1601"/>
      <c r="E11" s="1602"/>
    </row>
    <row r="12" spans="1:8" s="1" customFormat="1" ht="22.5" customHeight="1" x14ac:dyDescent="0.25">
      <c r="A12" s="26">
        <v>1</v>
      </c>
      <c r="B12" s="27" t="s">
        <v>251</v>
      </c>
      <c r="C12" s="58">
        <f>C13</f>
        <v>955000</v>
      </c>
      <c r="D12" s="58">
        <f>D13</f>
        <v>731508.5</v>
      </c>
      <c r="E12" s="169">
        <f>D12/C12%</f>
        <v>76.597748691099483</v>
      </c>
    </row>
    <row r="13" spans="1:8" s="1" customFormat="1" ht="22.5" customHeight="1" x14ac:dyDescent="0.25">
      <c r="A13" s="26" t="s">
        <v>25</v>
      </c>
      <c r="B13" s="38" t="s">
        <v>73</v>
      </c>
      <c r="C13" s="377">
        <v>955000</v>
      </c>
      <c r="D13" s="698">
        <v>731508.5</v>
      </c>
      <c r="E13" s="169">
        <f>D13/C13%</f>
        <v>76.597748691099483</v>
      </c>
    </row>
    <row r="14" spans="1:8" s="1" customFormat="1" ht="22.5" customHeight="1" x14ac:dyDescent="0.25">
      <c r="A14" s="26" t="s">
        <v>25</v>
      </c>
      <c r="B14" s="38" t="s">
        <v>74</v>
      </c>
      <c r="C14" s="58"/>
      <c r="D14" s="58"/>
      <c r="E14" s="169"/>
    </row>
    <row r="15" spans="1:8" s="1" customFormat="1" ht="22.5" customHeight="1" x14ac:dyDescent="0.25">
      <c r="A15" s="26"/>
      <c r="B15" s="27"/>
      <c r="C15" s="58"/>
      <c r="D15" s="58"/>
      <c r="E15" s="169"/>
    </row>
    <row r="16" spans="1:8" s="1" customFormat="1" ht="21.75" customHeight="1" x14ac:dyDescent="0.25">
      <c r="A16" s="56"/>
      <c r="B16" s="90"/>
      <c r="C16" s="69"/>
      <c r="D16" s="69"/>
      <c r="E16" s="210"/>
    </row>
    <row r="17" spans="1:5" s="1" customFormat="1" ht="33.6" customHeight="1" x14ac:dyDescent="0.25">
      <c r="A17" s="28"/>
      <c r="B17" s="35"/>
      <c r="C17" s="59"/>
      <c r="D17" s="59"/>
      <c r="E17" s="211"/>
    </row>
    <row r="18" spans="1:5" x14ac:dyDescent="0.25">
      <c r="E18" s="212"/>
    </row>
  </sheetData>
  <mergeCells count="4">
    <mergeCell ref="A3:E3"/>
    <mergeCell ref="A4:E4"/>
    <mergeCell ref="A5:E5"/>
    <mergeCell ref="D1:E1"/>
  </mergeCells>
  <printOptions horizontalCentered="1"/>
  <pageMargins left="0.62992125984252001" right="0.59055118110236204" top="0.55118110236220497" bottom="0.55118110236220497" header="0.31496062992126" footer="0.31496062992126"/>
  <pageSetup paperSize="9" firstPageNumber="39" orientation="portrait" useFirstPageNumber="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zoomScaleNormal="100" workbookViewId="0">
      <selection activeCell="Q19" sqref="Q19"/>
    </sheetView>
  </sheetViews>
  <sheetFormatPr defaultRowHeight="15.75" x14ac:dyDescent="0.25"/>
  <cols>
    <col min="1" max="1" width="5.85546875" style="243" customWidth="1"/>
    <col min="2" max="2" width="26.42578125" customWidth="1"/>
    <col min="3" max="3" width="11.85546875" style="165" customWidth="1"/>
    <col min="4" max="4" width="12.85546875" customWidth="1"/>
    <col min="5" max="5" width="11.7109375" customWidth="1"/>
    <col min="6" max="6" width="10.28515625" customWidth="1"/>
    <col min="7" max="7" width="13.140625" customWidth="1"/>
    <col min="8" max="8" width="11.28515625" style="165" customWidth="1"/>
    <col min="9" max="9" width="12.5703125" customWidth="1"/>
    <col min="10" max="10" width="11.7109375" customWidth="1"/>
    <col min="11" max="11" width="10.28515625" customWidth="1"/>
    <col min="12" max="12" width="12.28515625" customWidth="1"/>
    <col min="13" max="13" width="13.140625" customWidth="1"/>
    <col min="14" max="14" width="14.5703125" style="126" customWidth="1"/>
    <col min="15" max="15" width="16.85546875" bestFit="1" customWidth="1"/>
    <col min="259" max="259" width="5.85546875" customWidth="1"/>
    <col min="260" max="260" width="22.7109375" customWidth="1"/>
    <col min="261" max="263" width="11.7109375" customWidth="1"/>
    <col min="265" max="270" width="11.7109375" customWidth="1"/>
    <col min="515" max="515" width="5.85546875" customWidth="1"/>
    <col min="516" max="516" width="22.7109375" customWidth="1"/>
    <col min="517" max="519" width="11.7109375" customWidth="1"/>
    <col min="521" max="526" width="11.7109375" customWidth="1"/>
    <col min="771" max="771" width="5.85546875" customWidth="1"/>
    <col min="772" max="772" width="22.7109375" customWidth="1"/>
    <col min="773" max="775" width="11.7109375" customWidth="1"/>
    <col min="777" max="782" width="11.7109375" customWidth="1"/>
    <col min="1027" max="1027" width="5.85546875" customWidth="1"/>
    <col min="1028" max="1028" width="22.7109375" customWidth="1"/>
    <col min="1029" max="1031" width="11.7109375" customWidth="1"/>
    <col min="1033" max="1038" width="11.7109375" customWidth="1"/>
    <col min="1283" max="1283" width="5.85546875" customWidth="1"/>
    <col min="1284" max="1284" width="22.7109375" customWidth="1"/>
    <col min="1285" max="1287" width="11.7109375" customWidth="1"/>
    <col min="1289" max="1294" width="11.7109375" customWidth="1"/>
    <col min="1539" max="1539" width="5.85546875" customWidth="1"/>
    <col min="1540" max="1540" width="22.7109375" customWidth="1"/>
    <col min="1541" max="1543" width="11.7109375" customWidth="1"/>
    <col min="1545" max="1550" width="11.7109375" customWidth="1"/>
    <col min="1795" max="1795" width="5.85546875" customWidth="1"/>
    <col min="1796" max="1796" width="22.7109375" customWidth="1"/>
    <col min="1797" max="1799" width="11.7109375" customWidth="1"/>
    <col min="1801" max="1806" width="11.7109375" customWidth="1"/>
    <col min="2051" max="2051" width="5.85546875" customWidth="1"/>
    <col min="2052" max="2052" width="22.7109375" customWidth="1"/>
    <col min="2053" max="2055" width="11.7109375" customWidth="1"/>
    <col min="2057" max="2062" width="11.7109375" customWidth="1"/>
    <col min="2307" max="2307" width="5.85546875" customWidth="1"/>
    <col min="2308" max="2308" width="22.7109375" customWidth="1"/>
    <col min="2309" max="2311" width="11.7109375" customWidth="1"/>
    <col min="2313" max="2318" width="11.7109375" customWidth="1"/>
    <col min="2563" max="2563" width="5.85546875" customWidth="1"/>
    <col min="2564" max="2564" width="22.7109375" customWidth="1"/>
    <col min="2565" max="2567" width="11.7109375" customWidth="1"/>
    <col min="2569" max="2574" width="11.7109375" customWidth="1"/>
    <col min="2819" max="2819" width="5.85546875" customWidth="1"/>
    <col min="2820" max="2820" width="22.7109375" customWidth="1"/>
    <col min="2821" max="2823" width="11.7109375" customWidth="1"/>
    <col min="2825" max="2830" width="11.7109375" customWidth="1"/>
    <col min="3075" max="3075" width="5.85546875" customWidth="1"/>
    <col min="3076" max="3076" width="22.7109375" customWidth="1"/>
    <col min="3077" max="3079" width="11.7109375" customWidth="1"/>
    <col min="3081" max="3086" width="11.7109375" customWidth="1"/>
    <col min="3331" max="3331" width="5.85546875" customWidth="1"/>
    <col min="3332" max="3332" width="22.7109375" customWidth="1"/>
    <col min="3333" max="3335" width="11.7109375" customWidth="1"/>
    <col min="3337" max="3342" width="11.7109375" customWidth="1"/>
    <col min="3587" max="3587" width="5.85546875" customWidth="1"/>
    <col min="3588" max="3588" width="22.7109375" customWidth="1"/>
    <col min="3589" max="3591" width="11.7109375" customWidth="1"/>
    <col min="3593" max="3598" width="11.7109375" customWidth="1"/>
    <col min="3843" max="3843" width="5.85546875" customWidth="1"/>
    <col min="3844" max="3844" width="22.7109375" customWidth="1"/>
    <col min="3845" max="3847" width="11.7109375" customWidth="1"/>
    <col min="3849" max="3854" width="11.7109375" customWidth="1"/>
    <col min="4099" max="4099" width="5.85546875" customWidth="1"/>
    <col min="4100" max="4100" width="22.7109375" customWidth="1"/>
    <col min="4101" max="4103" width="11.7109375" customWidth="1"/>
    <col min="4105" max="4110" width="11.7109375" customWidth="1"/>
    <col min="4355" max="4355" width="5.85546875" customWidth="1"/>
    <col min="4356" max="4356" width="22.7109375" customWidth="1"/>
    <col min="4357" max="4359" width="11.7109375" customWidth="1"/>
    <col min="4361" max="4366" width="11.7109375" customWidth="1"/>
    <col min="4611" max="4611" width="5.85546875" customWidth="1"/>
    <col min="4612" max="4612" width="22.7109375" customWidth="1"/>
    <col min="4613" max="4615" width="11.7109375" customWidth="1"/>
    <col min="4617" max="4622" width="11.7109375" customWidth="1"/>
    <col min="4867" max="4867" width="5.85546875" customWidth="1"/>
    <col min="4868" max="4868" width="22.7109375" customWidth="1"/>
    <col min="4869" max="4871" width="11.7109375" customWidth="1"/>
    <col min="4873" max="4878" width="11.7109375" customWidth="1"/>
    <col min="5123" max="5123" width="5.85546875" customWidth="1"/>
    <col min="5124" max="5124" width="22.7109375" customWidth="1"/>
    <col min="5125" max="5127" width="11.7109375" customWidth="1"/>
    <col min="5129" max="5134" width="11.7109375" customWidth="1"/>
    <col min="5379" max="5379" width="5.85546875" customWidth="1"/>
    <col min="5380" max="5380" width="22.7109375" customWidth="1"/>
    <col min="5381" max="5383" width="11.7109375" customWidth="1"/>
    <col min="5385" max="5390" width="11.7109375" customWidth="1"/>
    <col min="5635" max="5635" width="5.85546875" customWidth="1"/>
    <col min="5636" max="5636" width="22.7109375" customWidth="1"/>
    <col min="5637" max="5639" width="11.7109375" customWidth="1"/>
    <col min="5641" max="5646" width="11.7109375" customWidth="1"/>
    <col min="5891" max="5891" width="5.85546875" customWidth="1"/>
    <col min="5892" max="5892" width="22.7109375" customWidth="1"/>
    <col min="5893" max="5895" width="11.7109375" customWidth="1"/>
    <col min="5897" max="5902" width="11.7109375" customWidth="1"/>
    <col min="6147" max="6147" width="5.85546875" customWidth="1"/>
    <col min="6148" max="6148" width="22.7109375" customWidth="1"/>
    <col min="6149" max="6151" width="11.7109375" customWidth="1"/>
    <col min="6153" max="6158" width="11.7109375" customWidth="1"/>
    <col min="6403" max="6403" width="5.85546875" customWidth="1"/>
    <col min="6404" max="6404" width="22.7109375" customWidth="1"/>
    <col min="6405" max="6407" width="11.7109375" customWidth="1"/>
    <col min="6409" max="6414" width="11.7109375" customWidth="1"/>
    <col min="6659" max="6659" width="5.85546875" customWidth="1"/>
    <col min="6660" max="6660" width="22.7109375" customWidth="1"/>
    <col min="6661" max="6663" width="11.7109375" customWidth="1"/>
    <col min="6665" max="6670" width="11.7109375" customWidth="1"/>
    <col min="6915" max="6915" width="5.85546875" customWidth="1"/>
    <col min="6916" max="6916" width="22.7109375" customWidth="1"/>
    <col min="6917" max="6919" width="11.7109375" customWidth="1"/>
    <col min="6921" max="6926" width="11.7109375" customWidth="1"/>
    <col min="7171" max="7171" width="5.85546875" customWidth="1"/>
    <col min="7172" max="7172" width="22.7109375" customWidth="1"/>
    <col min="7173" max="7175" width="11.7109375" customWidth="1"/>
    <col min="7177" max="7182" width="11.7109375" customWidth="1"/>
    <col min="7427" max="7427" width="5.85546875" customWidth="1"/>
    <col min="7428" max="7428" width="22.7109375" customWidth="1"/>
    <col min="7429" max="7431" width="11.7109375" customWidth="1"/>
    <col min="7433" max="7438" width="11.7109375" customWidth="1"/>
    <col min="7683" max="7683" width="5.85546875" customWidth="1"/>
    <col min="7684" max="7684" width="22.7109375" customWidth="1"/>
    <col min="7685" max="7687" width="11.7109375" customWidth="1"/>
    <col min="7689" max="7694" width="11.7109375" customWidth="1"/>
    <col min="7939" max="7939" width="5.85546875" customWidth="1"/>
    <col min="7940" max="7940" width="22.7109375" customWidth="1"/>
    <col min="7941" max="7943" width="11.7109375" customWidth="1"/>
    <col min="7945" max="7950" width="11.7109375" customWidth="1"/>
    <col min="8195" max="8195" width="5.85546875" customWidth="1"/>
    <col min="8196" max="8196" width="22.7109375" customWidth="1"/>
    <col min="8197" max="8199" width="11.7109375" customWidth="1"/>
    <col min="8201" max="8206" width="11.7109375" customWidth="1"/>
    <col min="8451" max="8451" width="5.85546875" customWidth="1"/>
    <col min="8452" max="8452" width="22.7109375" customWidth="1"/>
    <col min="8453" max="8455" width="11.7109375" customWidth="1"/>
    <col min="8457" max="8462" width="11.7109375" customWidth="1"/>
    <col min="8707" max="8707" width="5.85546875" customWidth="1"/>
    <col min="8708" max="8708" width="22.7109375" customWidth="1"/>
    <col min="8709" max="8711" width="11.7109375" customWidth="1"/>
    <col min="8713" max="8718" width="11.7109375" customWidth="1"/>
    <col min="8963" max="8963" width="5.85546875" customWidth="1"/>
    <col min="8964" max="8964" width="22.7109375" customWidth="1"/>
    <col min="8965" max="8967" width="11.7109375" customWidth="1"/>
    <col min="8969" max="8974" width="11.7109375" customWidth="1"/>
    <col min="9219" max="9219" width="5.85546875" customWidth="1"/>
    <col min="9220" max="9220" width="22.7109375" customWidth="1"/>
    <col min="9221" max="9223" width="11.7109375" customWidth="1"/>
    <col min="9225" max="9230" width="11.7109375" customWidth="1"/>
    <col min="9475" max="9475" width="5.85546875" customWidth="1"/>
    <col min="9476" max="9476" width="22.7109375" customWidth="1"/>
    <col min="9477" max="9479" width="11.7109375" customWidth="1"/>
    <col min="9481" max="9486" width="11.7109375" customWidth="1"/>
    <col min="9731" max="9731" width="5.85546875" customWidth="1"/>
    <col min="9732" max="9732" width="22.7109375" customWidth="1"/>
    <col min="9733" max="9735" width="11.7109375" customWidth="1"/>
    <col min="9737" max="9742" width="11.7109375" customWidth="1"/>
    <col min="9987" max="9987" width="5.85546875" customWidth="1"/>
    <col min="9988" max="9988" width="22.7109375" customWidth="1"/>
    <col min="9989" max="9991" width="11.7109375" customWidth="1"/>
    <col min="9993" max="9998" width="11.7109375" customWidth="1"/>
    <col min="10243" max="10243" width="5.85546875" customWidth="1"/>
    <col min="10244" max="10244" width="22.7109375" customWidth="1"/>
    <col min="10245" max="10247" width="11.7109375" customWidth="1"/>
    <col min="10249" max="10254" width="11.7109375" customWidth="1"/>
    <col min="10499" max="10499" width="5.85546875" customWidth="1"/>
    <col min="10500" max="10500" width="22.7109375" customWidth="1"/>
    <col min="10501" max="10503" width="11.7109375" customWidth="1"/>
    <col min="10505" max="10510" width="11.7109375" customWidth="1"/>
    <col min="10755" max="10755" width="5.85546875" customWidth="1"/>
    <col min="10756" max="10756" width="22.7109375" customWidth="1"/>
    <col min="10757" max="10759" width="11.7109375" customWidth="1"/>
    <col min="10761" max="10766" width="11.7109375" customWidth="1"/>
    <col min="11011" max="11011" width="5.85546875" customWidth="1"/>
    <col min="11012" max="11012" width="22.7109375" customWidth="1"/>
    <col min="11013" max="11015" width="11.7109375" customWidth="1"/>
    <col min="11017" max="11022" width="11.7109375" customWidth="1"/>
    <col min="11267" max="11267" width="5.85546875" customWidth="1"/>
    <col min="11268" max="11268" width="22.7109375" customWidth="1"/>
    <col min="11269" max="11271" width="11.7109375" customWidth="1"/>
    <col min="11273" max="11278" width="11.7109375" customWidth="1"/>
    <col min="11523" max="11523" width="5.85546875" customWidth="1"/>
    <col min="11524" max="11524" width="22.7109375" customWidth="1"/>
    <col min="11525" max="11527" width="11.7109375" customWidth="1"/>
    <col min="11529" max="11534" width="11.7109375" customWidth="1"/>
    <col min="11779" max="11779" width="5.85546875" customWidth="1"/>
    <col min="11780" max="11780" width="22.7109375" customWidth="1"/>
    <col min="11781" max="11783" width="11.7109375" customWidth="1"/>
    <col min="11785" max="11790" width="11.7109375" customWidth="1"/>
    <col min="12035" max="12035" width="5.85546875" customWidth="1"/>
    <col min="12036" max="12036" width="22.7109375" customWidth="1"/>
    <col min="12037" max="12039" width="11.7109375" customWidth="1"/>
    <col min="12041" max="12046" width="11.7109375" customWidth="1"/>
    <col min="12291" max="12291" width="5.85546875" customWidth="1"/>
    <col min="12292" max="12292" width="22.7109375" customWidth="1"/>
    <col min="12293" max="12295" width="11.7109375" customWidth="1"/>
    <col min="12297" max="12302" width="11.7109375" customWidth="1"/>
    <col min="12547" max="12547" width="5.85546875" customWidth="1"/>
    <col min="12548" max="12548" width="22.7109375" customWidth="1"/>
    <col min="12549" max="12551" width="11.7109375" customWidth="1"/>
    <col min="12553" max="12558" width="11.7109375" customWidth="1"/>
    <col min="12803" max="12803" width="5.85546875" customWidth="1"/>
    <col min="12804" max="12804" width="22.7109375" customWidth="1"/>
    <col min="12805" max="12807" width="11.7109375" customWidth="1"/>
    <col min="12809" max="12814" width="11.7109375" customWidth="1"/>
    <col min="13059" max="13059" width="5.85546875" customWidth="1"/>
    <col min="13060" max="13060" width="22.7109375" customWidth="1"/>
    <col min="13061" max="13063" width="11.7109375" customWidth="1"/>
    <col min="13065" max="13070" width="11.7109375" customWidth="1"/>
    <col min="13315" max="13315" width="5.85546875" customWidth="1"/>
    <col min="13316" max="13316" width="22.7109375" customWidth="1"/>
    <col min="13317" max="13319" width="11.7109375" customWidth="1"/>
    <col min="13321" max="13326" width="11.7109375" customWidth="1"/>
    <col min="13571" max="13571" width="5.85546875" customWidth="1"/>
    <col min="13572" max="13572" width="22.7109375" customWidth="1"/>
    <col min="13573" max="13575" width="11.7109375" customWidth="1"/>
    <col min="13577" max="13582" width="11.7109375" customWidth="1"/>
    <col min="13827" max="13827" width="5.85546875" customWidth="1"/>
    <col min="13828" max="13828" width="22.7109375" customWidth="1"/>
    <col min="13829" max="13831" width="11.7109375" customWidth="1"/>
    <col min="13833" max="13838" width="11.7109375" customWidth="1"/>
    <col min="14083" max="14083" width="5.85546875" customWidth="1"/>
    <col min="14084" max="14084" width="22.7109375" customWidth="1"/>
    <col min="14085" max="14087" width="11.7109375" customWidth="1"/>
    <col min="14089" max="14094" width="11.7109375" customWidth="1"/>
    <col min="14339" max="14339" width="5.85546875" customWidth="1"/>
    <col min="14340" max="14340" width="22.7109375" customWidth="1"/>
    <col min="14341" max="14343" width="11.7109375" customWidth="1"/>
    <col min="14345" max="14350" width="11.7109375" customWidth="1"/>
    <col min="14595" max="14595" width="5.85546875" customWidth="1"/>
    <col min="14596" max="14596" width="22.7109375" customWidth="1"/>
    <col min="14597" max="14599" width="11.7109375" customWidth="1"/>
    <col min="14601" max="14606" width="11.7109375" customWidth="1"/>
    <col min="14851" max="14851" width="5.85546875" customWidth="1"/>
    <col min="14852" max="14852" width="22.7109375" customWidth="1"/>
    <col min="14853" max="14855" width="11.7109375" customWidth="1"/>
    <col min="14857" max="14862" width="11.7109375" customWidth="1"/>
    <col min="15107" max="15107" width="5.85546875" customWidth="1"/>
    <col min="15108" max="15108" width="22.7109375" customWidth="1"/>
    <col min="15109" max="15111" width="11.7109375" customWidth="1"/>
    <col min="15113" max="15118" width="11.7109375" customWidth="1"/>
    <col min="15363" max="15363" width="5.85546875" customWidth="1"/>
    <col min="15364" max="15364" width="22.7109375" customWidth="1"/>
    <col min="15365" max="15367" width="11.7109375" customWidth="1"/>
    <col min="15369" max="15374" width="11.7109375" customWidth="1"/>
    <col min="15619" max="15619" width="5.85546875" customWidth="1"/>
    <col min="15620" max="15620" width="22.7109375" customWidth="1"/>
    <col min="15621" max="15623" width="11.7109375" customWidth="1"/>
    <col min="15625" max="15630" width="11.7109375" customWidth="1"/>
    <col min="15875" max="15875" width="5.85546875" customWidth="1"/>
    <col min="15876" max="15876" width="22.7109375" customWidth="1"/>
    <col min="15877" max="15879" width="11.7109375" customWidth="1"/>
    <col min="15881" max="15886" width="11.7109375" customWidth="1"/>
    <col min="16131" max="16131" width="5.85546875" customWidth="1"/>
    <col min="16132" max="16132" width="22.7109375" customWidth="1"/>
    <col min="16133" max="16135" width="11.7109375" customWidth="1"/>
    <col min="16137" max="16142" width="11.7109375" customWidth="1"/>
  </cols>
  <sheetData>
    <row r="1" spans="1:16" ht="15.75" customHeight="1" x14ac:dyDescent="0.25">
      <c r="A1" s="1969" t="str">
        <f>'48N'!A1</f>
        <v>UBND PHƯỜNG ĐỨC XUÂN</v>
      </c>
      <c r="B1" s="1969"/>
      <c r="C1" s="1969"/>
      <c r="M1" s="1770" t="s">
        <v>973</v>
      </c>
      <c r="N1" s="1770"/>
    </row>
    <row r="2" spans="1:16" ht="10.5" customHeight="1" x14ac:dyDescent="0.25">
      <c r="A2" s="242"/>
      <c r="B2" s="91"/>
      <c r="C2" s="237"/>
      <c r="N2" s="233"/>
    </row>
    <row r="3" spans="1:16" ht="26.25" customHeight="1" x14ac:dyDescent="0.25">
      <c r="A3" s="1775" t="s">
        <v>974</v>
      </c>
      <c r="B3" s="1775"/>
      <c r="C3" s="1775"/>
      <c r="D3" s="1775"/>
      <c r="E3" s="1775"/>
      <c r="F3" s="1775"/>
      <c r="G3" s="1775"/>
      <c r="H3" s="1775"/>
      <c r="I3" s="1775"/>
      <c r="J3" s="1775"/>
      <c r="K3" s="1775"/>
      <c r="L3" s="1775"/>
      <c r="M3" s="1775"/>
      <c r="N3" s="1775"/>
      <c r="P3" s="327"/>
    </row>
    <row r="4" spans="1:16" ht="18" customHeight="1" x14ac:dyDescent="0.25">
      <c r="A4" s="1780" t="str">
        <f>'62N'!A3:AD3</f>
        <v>(Kèm theo Tờ trình số    /TTr-KTHT&amp;ĐT ngày      /4/2026 của phòng KTHT&amp;ĐT phường Đức Xuân)</v>
      </c>
      <c r="B4" s="1780"/>
      <c r="C4" s="1780"/>
      <c r="D4" s="1780"/>
      <c r="E4" s="1780"/>
      <c r="F4" s="1780"/>
      <c r="G4" s="1780"/>
      <c r="H4" s="1780"/>
      <c r="I4" s="1780"/>
      <c r="J4" s="1780"/>
      <c r="K4" s="1780"/>
      <c r="L4" s="1780"/>
      <c r="M4" s="1780"/>
      <c r="N4" s="1780"/>
    </row>
    <row r="5" spans="1:16" ht="24" customHeight="1" x14ac:dyDescent="0.25">
      <c r="N5" s="234" t="s">
        <v>427</v>
      </c>
    </row>
    <row r="6" spans="1:16" s="1" customFormat="1" ht="22.5" customHeight="1" x14ac:dyDescent="0.25">
      <c r="A6" s="1970" t="s">
        <v>1</v>
      </c>
      <c r="B6" s="1971" t="s">
        <v>252</v>
      </c>
      <c r="C6" s="1972" t="s">
        <v>485</v>
      </c>
      <c r="D6" s="1971" t="s">
        <v>486</v>
      </c>
      <c r="E6" s="1971"/>
      <c r="F6" s="1971"/>
      <c r="G6" s="1971"/>
      <c r="H6" s="1971"/>
      <c r="I6" s="1971" t="s">
        <v>487</v>
      </c>
      <c r="J6" s="1971"/>
      <c r="K6" s="1971"/>
      <c r="L6" s="1971"/>
      <c r="M6" s="1971"/>
      <c r="N6" s="1973" t="s">
        <v>488</v>
      </c>
    </row>
    <row r="7" spans="1:16" s="1" customFormat="1" ht="37.5" customHeight="1" x14ac:dyDescent="0.25">
      <c r="A7" s="1970"/>
      <c r="B7" s="1971"/>
      <c r="C7" s="1972"/>
      <c r="D7" s="1846" t="s">
        <v>253</v>
      </c>
      <c r="E7" s="1846"/>
      <c r="F7" s="1767" t="s">
        <v>254</v>
      </c>
      <c r="G7" s="1768"/>
      <c r="H7" s="1974" t="s">
        <v>49</v>
      </c>
      <c r="I7" s="1846" t="s">
        <v>253</v>
      </c>
      <c r="J7" s="1846"/>
      <c r="K7" s="1767" t="s">
        <v>254</v>
      </c>
      <c r="L7" s="1768"/>
      <c r="M7" s="1846" t="s">
        <v>49</v>
      </c>
      <c r="N7" s="1973"/>
    </row>
    <row r="8" spans="1:16" s="1" customFormat="1" ht="38.25" x14ac:dyDescent="0.25">
      <c r="A8" s="1970"/>
      <c r="B8" s="1971"/>
      <c r="C8" s="1972"/>
      <c r="D8" s="629" t="s">
        <v>15</v>
      </c>
      <c r="E8" s="629" t="s">
        <v>975</v>
      </c>
      <c r="F8" s="1549" t="s">
        <v>15</v>
      </c>
      <c r="G8" s="1549" t="s">
        <v>976</v>
      </c>
      <c r="H8" s="1974"/>
      <c r="I8" s="629" t="s">
        <v>15</v>
      </c>
      <c r="J8" s="629" t="s">
        <v>316</v>
      </c>
      <c r="K8" s="1549" t="s">
        <v>15</v>
      </c>
      <c r="L8" s="1549" t="s">
        <v>976</v>
      </c>
      <c r="M8" s="1846"/>
      <c r="N8" s="1973"/>
    </row>
    <row r="9" spans="1:16" s="14" customFormat="1" ht="23.25" customHeight="1" x14ac:dyDescent="0.2">
      <c r="A9" s="244" t="s">
        <v>4</v>
      </c>
      <c r="B9" s="151" t="s">
        <v>5</v>
      </c>
      <c r="C9" s="238">
        <v>1</v>
      </c>
      <c r="D9" s="151">
        <v>2</v>
      </c>
      <c r="E9" s="151">
        <v>3</v>
      </c>
      <c r="F9" s="151">
        <v>4</v>
      </c>
      <c r="G9" s="151">
        <v>5</v>
      </c>
      <c r="H9" s="247" t="s">
        <v>977</v>
      </c>
      <c r="I9" s="151">
        <v>7</v>
      </c>
      <c r="J9" s="151">
        <v>8</v>
      </c>
      <c r="K9" s="151">
        <v>9</v>
      </c>
      <c r="L9" s="151">
        <v>10</v>
      </c>
      <c r="M9" s="151" t="s">
        <v>978</v>
      </c>
      <c r="N9" s="235" t="s">
        <v>979</v>
      </c>
    </row>
    <row r="10" spans="1:16" s="697" customFormat="1" ht="23.25" customHeight="1" x14ac:dyDescent="0.25">
      <c r="A10" s="1495"/>
      <c r="B10" s="1495" t="s">
        <v>317</v>
      </c>
      <c r="C10" s="1527"/>
      <c r="D10" s="1528">
        <f>D11+D12+D13+D14+D17+D18+D19+D22</f>
        <v>1655592.3740000001</v>
      </c>
      <c r="E10" s="1528">
        <f t="shared" ref="E10:N10" si="0">E11+E12+E13+E14+E17+E18+E19+E22</f>
        <v>0</v>
      </c>
      <c r="F10" s="1528"/>
      <c r="G10" s="1528">
        <f t="shared" si="0"/>
        <v>1655592.3740000001</v>
      </c>
      <c r="H10" s="1528">
        <f t="shared" si="0"/>
        <v>0</v>
      </c>
      <c r="I10" s="1528">
        <f t="shared" si="0"/>
        <v>1655592.3740000001</v>
      </c>
      <c r="J10" s="1528">
        <f t="shared" si="0"/>
        <v>0</v>
      </c>
      <c r="K10" s="1528"/>
      <c r="L10" s="1528">
        <f t="shared" si="0"/>
        <v>0</v>
      </c>
      <c r="M10" s="1528">
        <f t="shared" si="0"/>
        <v>1123229.534</v>
      </c>
      <c r="N10" s="1528">
        <f t="shared" si="0"/>
        <v>1655592.3740000001</v>
      </c>
    </row>
    <row r="11" spans="1:16" s="1" customFormat="1" ht="23.25" customHeight="1" x14ac:dyDescent="0.25">
      <c r="A11" s="1523">
        <v>1</v>
      </c>
      <c r="B11" s="1524" t="s">
        <v>354</v>
      </c>
      <c r="C11" s="1525"/>
      <c r="D11" s="1526">
        <v>48938.048000000003</v>
      </c>
      <c r="E11" s="1525"/>
      <c r="F11" s="1525"/>
      <c r="G11" s="1526">
        <f>D11</f>
        <v>48938.048000000003</v>
      </c>
      <c r="H11" s="1526">
        <f>D11-G11</f>
        <v>0</v>
      </c>
      <c r="I11" s="1526">
        <v>48938.048000000003</v>
      </c>
      <c r="J11" s="1525"/>
      <c r="K11" s="1525"/>
      <c r="L11" s="1525">
        <v>0</v>
      </c>
      <c r="M11" s="694">
        <f t="shared" ref="M11:M12" si="1">I11-K11</f>
        <v>48938.048000000003</v>
      </c>
      <c r="N11" s="1526">
        <f t="shared" ref="N11:N22" si="2">C11+I11-L11</f>
        <v>48938.048000000003</v>
      </c>
      <c r="O11" s="1093"/>
    </row>
    <row r="12" spans="1:16" s="1" customFormat="1" ht="23.25" customHeight="1" x14ac:dyDescent="0.25">
      <c r="A12" s="1476">
        <v>2</v>
      </c>
      <c r="B12" s="1477" t="s">
        <v>315</v>
      </c>
      <c r="C12" s="1478"/>
      <c r="D12" s="694">
        <v>46038</v>
      </c>
      <c r="E12" s="1478"/>
      <c r="F12" s="1478"/>
      <c r="G12" s="694">
        <v>46038</v>
      </c>
      <c r="H12" s="694">
        <f t="shared" ref="H12:H21" si="3">D12-G12</f>
        <v>0</v>
      </c>
      <c r="I12" s="694">
        <v>46038</v>
      </c>
      <c r="J12" s="1478"/>
      <c r="K12" s="1478"/>
      <c r="L12" s="1478"/>
      <c r="M12" s="694">
        <f t="shared" si="1"/>
        <v>46038</v>
      </c>
      <c r="N12" s="694">
        <f t="shared" si="2"/>
        <v>46038</v>
      </c>
    </row>
    <row r="13" spans="1:16" s="1" customFormat="1" ht="23.25" customHeight="1" x14ac:dyDescent="0.25">
      <c r="A13" s="1476">
        <v>3</v>
      </c>
      <c r="B13" s="1477" t="s">
        <v>314</v>
      </c>
      <c r="C13" s="1478"/>
      <c r="D13" s="694">
        <v>101958.77099999999</v>
      </c>
      <c r="E13" s="1478"/>
      <c r="F13" s="1478"/>
      <c r="G13" s="694">
        <v>101958.77099999999</v>
      </c>
      <c r="H13" s="694">
        <f t="shared" si="3"/>
        <v>0</v>
      </c>
      <c r="I13" s="694">
        <v>101958.77099999999</v>
      </c>
      <c r="J13" s="1478"/>
      <c r="K13" s="694">
        <v>13900</v>
      </c>
      <c r="L13" s="694"/>
      <c r="M13" s="694">
        <f>I13-K13</f>
        <v>88058.770999999993</v>
      </c>
      <c r="N13" s="694">
        <f>C13+I13-L13</f>
        <v>101958.77099999999</v>
      </c>
    </row>
    <row r="14" spans="1:16" s="1" customFormat="1" ht="23.25" customHeight="1" x14ac:dyDescent="0.25">
      <c r="A14" s="1476">
        <v>4</v>
      </c>
      <c r="B14" s="1477" t="s">
        <v>355</v>
      </c>
      <c r="C14" s="1478"/>
      <c r="D14" s="694">
        <f>SUM(D15:D16)</f>
        <v>317492.77100000001</v>
      </c>
      <c r="E14" s="694">
        <f t="shared" ref="E14:G14" si="4">SUM(E15:E16)</f>
        <v>0</v>
      </c>
      <c r="F14" s="694"/>
      <c r="G14" s="694">
        <f t="shared" si="4"/>
        <v>317492.77100000001</v>
      </c>
      <c r="H14" s="694">
        <f t="shared" si="3"/>
        <v>0</v>
      </c>
      <c r="I14" s="694">
        <f>SUM(I15:I16)</f>
        <v>317492.77100000001</v>
      </c>
      <c r="J14" s="1478"/>
      <c r="K14" s="1478"/>
      <c r="L14" s="1478"/>
      <c r="M14" s="694">
        <f t="shared" ref="M14:M22" si="5">I14-K14</f>
        <v>317492.77100000001</v>
      </c>
      <c r="N14" s="694">
        <f>C14+I14-L14</f>
        <v>317492.77100000001</v>
      </c>
    </row>
    <row r="15" spans="1:16" s="337" customFormat="1" ht="21" hidden="1" customHeight="1" x14ac:dyDescent="0.25">
      <c r="A15" s="334" t="s">
        <v>25</v>
      </c>
      <c r="B15" s="335" t="s">
        <v>489</v>
      </c>
      <c r="C15" s="336"/>
      <c r="D15" s="693">
        <v>121817.33900000001</v>
      </c>
      <c r="E15" s="336"/>
      <c r="F15" s="336"/>
      <c r="G15" s="696">
        <f>D15</f>
        <v>121817.33900000001</v>
      </c>
      <c r="H15" s="694">
        <f t="shared" si="3"/>
        <v>0</v>
      </c>
      <c r="I15" s="693">
        <v>121817.33900000001</v>
      </c>
      <c r="J15" s="336"/>
      <c r="K15" s="336">
        <v>0</v>
      </c>
      <c r="L15" s="336">
        <v>0</v>
      </c>
      <c r="M15" s="694">
        <f t="shared" si="5"/>
        <v>121817.33900000001</v>
      </c>
      <c r="N15" s="694">
        <f t="shared" si="2"/>
        <v>121817.33900000001</v>
      </c>
    </row>
    <row r="16" spans="1:16" s="337" customFormat="1" ht="21" hidden="1" customHeight="1" x14ac:dyDescent="0.25">
      <c r="A16" s="334" t="s">
        <v>25</v>
      </c>
      <c r="B16" s="335" t="s">
        <v>490</v>
      </c>
      <c r="C16" s="336"/>
      <c r="D16" s="693">
        <v>195675.432</v>
      </c>
      <c r="E16" s="336"/>
      <c r="F16" s="336"/>
      <c r="G16" s="696">
        <f>D16</f>
        <v>195675.432</v>
      </c>
      <c r="H16" s="694">
        <f t="shared" si="3"/>
        <v>0</v>
      </c>
      <c r="I16" s="693">
        <v>195675.432</v>
      </c>
      <c r="J16" s="336"/>
      <c r="K16" s="336">
        <v>0</v>
      </c>
      <c r="L16" s="336">
        <v>0</v>
      </c>
      <c r="M16" s="694">
        <f t="shared" si="5"/>
        <v>195675.432</v>
      </c>
      <c r="N16" s="694">
        <f t="shared" si="2"/>
        <v>195675.432</v>
      </c>
    </row>
    <row r="17" spans="1:15" s="1" customFormat="1" ht="23.25" customHeight="1" x14ac:dyDescent="0.25">
      <c r="A17" s="1476">
        <v>5</v>
      </c>
      <c r="B17" s="1477" t="s">
        <v>343</v>
      </c>
      <c r="C17" s="1478"/>
      <c r="D17" s="694">
        <v>41357.218000000001</v>
      </c>
      <c r="E17" s="1478"/>
      <c r="F17" s="1478"/>
      <c r="G17" s="1479">
        <f>D17</f>
        <v>41357.218000000001</v>
      </c>
      <c r="H17" s="694">
        <f t="shared" si="3"/>
        <v>0</v>
      </c>
      <c r="I17" s="694">
        <v>41357.218000000001</v>
      </c>
      <c r="J17" s="1478"/>
      <c r="K17" s="1478">
        <v>0</v>
      </c>
      <c r="L17" s="1478">
        <v>0</v>
      </c>
      <c r="M17" s="694">
        <f t="shared" si="5"/>
        <v>41357.218000000001</v>
      </c>
      <c r="N17" s="694">
        <f t="shared" si="2"/>
        <v>41357.218000000001</v>
      </c>
    </row>
    <row r="18" spans="1:15" s="92" customFormat="1" ht="23.25" customHeight="1" x14ac:dyDescent="0.25">
      <c r="A18" s="1476">
        <v>6</v>
      </c>
      <c r="B18" s="1477" t="s">
        <v>356</v>
      </c>
      <c r="C18" s="1480"/>
      <c r="D18" s="1481">
        <v>77012.081000000006</v>
      </c>
      <c r="E18" s="1480"/>
      <c r="F18" s="1480"/>
      <c r="G18" s="1479">
        <f>D18</f>
        <v>77012.081000000006</v>
      </c>
      <c r="H18" s="694">
        <f t="shared" si="3"/>
        <v>0</v>
      </c>
      <c r="I18" s="1481">
        <v>77012.081000000006</v>
      </c>
      <c r="J18" s="1480"/>
      <c r="K18" s="1480">
        <v>0</v>
      </c>
      <c r="L18" s="1480">
        <v>0</v>
      </c>
      <c r="M18" s="694">
        <f t="shared" si="5"/>
        <v>77012.081000000006</v>
      </c>
      <c r="N18" s="694">
        <f t="shared" si="2"/>
        <v>77012.081000000006</v>
      </c>
      <c r="O18" s="1482"/>
    </row>
    <row r="19" spans="1:15" s="1" customFormat="1" ht="22.5" customHeight="1" x14ac:dyDescent="0.25">
      <c r="A19" s="1476">
        <v>7</v>
      </c>
      <c r="B19" s="1477" t="s">
        <v>357</v>
      </c>
      <c r="C19" s="1478"/>
      <c r="D19" s="694">
        <f>D20+D21</f>
        <v>987054.48499999999</v>
      </c>
      <c r="E19" s="694">
        <f t="shared" ref="E19:G19" si="6">E20+E21</f>
        <v>0</v>
      </c>
      <c r="F19" s="694"/>
      <c r="G19" s="694">
        <f t="shared" si="6"/>
        <v>987054.48499999999</v>
      </c>
      <c r="H19" s="694">
        <f t="shared" si="3"/>
        <v>0</v>
      </c>
      <c r="I19" s="694">
        <f>I20+I21</f>
        <v>987054.48499999999</v>
      </c>
      <c r="J19" s="694">
        <f t="shared" ref="J19" si="7">J20+J21</f>
        <v>0</v>
      </c>
      <c r="K19" s="694">
        <f>K20+K21</f>
        <v>518462.84</v>
      </c>
      <c r="L19" s="694">
        <f>L20+L21</f>
        <v>0</v>
      </c>
      <c r="M19" s="694">
        <f t="shared" si="5"/>
        <v>468591.64499999996</v>
      </c>
      <c r="N19" s="694">
        <f>C19+I19-L19</f>
        <v>987054.48499999999</v>
      </c>
    </row>
    <row r="20" spans="1:15" s="337" customFormat="1" ht="23.25" hidden="1" customHeight="1" x14ac:dyDescent="0.25">
      <c r="A20" s="334" t="s">
        <v>25</v>
      </c>
      <c r="B20" s="335" t="s">
        <v>489</v>
      </c>
      <c r="C20" s="336"/>
      <c r="D20" s="695">
        <v>2200</v>
      </c>
      <c r="E20" s="336"/>
      <c r="F20" s="336"/>
      <c r="G20" s="696">
        <f>D20</f>
        <v>2200</v>
      </c>
      <c r="H20" s="694">
        <f t="shared" si="3"/>
        <v>0</v>
      </c>
      <c r="I20" s="695">
        <v>2200</v>
      </c>
      <c r="J20" s="336"/>
      <c r="K20" s="336"/>
      <c r="L20" s="336">
        <v>0</v>
      </c>
      <c r="M20" s="694">
        <f t="shared" si="5"/>
        <v>2200</v>
      </c>
      <c r="N20" s="694">
        <f t="shared" si="2"/>
        <v>2200</v>
      </c>
    </row>
    <row r="21" spans="1:15" s="337" customFormat="1" ht="32.25" hidden="1" customHeight="1" x14ac:dyDescent="0.25">
      <c r="A21" s="334" t="s">
        <v>25</v>
      </c>
      <c r="B21" s="335" t="s">
        <v>490</v>
      </c>
      <c r="C21" s="336"/>
      <c r="D21" s="695">
        <v>984854.48499999999</v>
      </c>
      <c r="E21" s="336"/>
      <c r="F21" s="336"/>
      <c r="G21" s="696">
        <f>D21</f>
        <v>984854.48499999999</v>
      </c>
      <c r="H21" s="694">
        <f t="shared" si="3"/>
        <v>0</v>
      </c>
      <c r="I21" s="695">
        <v>984854.48499999999</v>
      </c>
      <c r="J21" s="336"/>
      <c r="K21" s="695">
        <v>518462.84</v>
      </c>
      <c r="L21" s="695"/>
      <c r="M21" s="694">
        <f t="shared" si="5"/>
        <v>466391.64499999996</v>
      </c>
      <c r="N21" s="694">
        <f t="shared" si="2"/>
        <v>984854.48499999999</v>
      </c>
    </row>
    <row r="22" spans="1:15" s="1" customFormat="1" ht="33.75" customHeight="1" x14ac:dyDescent="0.25">
      <c r="A22" s="1483">
        <v>8</v>
      </c>
      <c r="B22" s="1484" t="s">
        <v>491</v>
      </c>
      <c r="C22" s="1485"/>
      <c r="D22" s="1486">
        <v>35741</v>
      </c>
      <c r="E22" s="1485"/>
      <c r="F22" s="1485"/>
      <c r="G22" s="1485">
        <f>D22</f>
        <v>35741</v>
      </c>
      <c r="H22" s="1486">
        <f t="shared" ref="H22" si="8">D22-G22</f>
        <v>0</v>
      </c>
      <c r="I22" s="1486">
        <v>35741</v>
      </c>
      <c r="J22" s="1485"/>
      <c r="K22" s="1485"/>
      <c r="L22" s="1485">
        <v>0</v>
      </c>
      <c r="M22" s="1486">
        <f t="shared" si="5"/>
        <v>35741</v>
      </c>
      <c r="N22" s="1486">
        <f t="shared" si="2"/>
        <v>35741</v>
      </c>
    </row>
  </sheetData>
  <mergeCells count="16">
    <mergeCell ref="F7:G7"/>
    <mergeCell ref="K7:L7"/>
    <mergeCell ref="A1:C1"/>
    <mergeCell ref="A4:N4"/>
    <mergeCell ref="A3:N3"/>
    <mergeCell ref="A6:A8"/>
    <mergeCell ref="B6:B8"/>
    <mergeCell ref="C6:C8"/>
    <mergeCell ref="D6:H6"/>
    <mergeCell ref="I6:M6"/>
    <mergeCell ref="N6:N8"/>
    <mergeCell ref="D7:E7"/>
    <mergeCell ref="H7:H8"/>
    <mergeCell ref="I7:J7"/>
    <mergeCell ref="M7:M8"/>
    <mergeCell ref="M1:N1"/>
  </mergeCells>
  <printOptions horizontalCentered="1"/>
  <pageMargins left="0.24" right="0.15" top="0.54" bottom="0.33" header="0.31496062992126" footer="0.31496062992126"/>
  <pageSetup paperSize="9" scale="90" firstPageNumber="38" orientation="landscape" useFirstPageNumber="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opLeftCell="A59" workbookViewId="0">
      <selection activeCell="A3" sqref="A3:Y3"/>
    </sheetView>
  </sheetViews>
  <sheetFormatPr defaultColWidth="10.28515625" defaultRowHeight="15.75" x14ac:dyDescent="0.25"/>
  <cols>
    <col min="1" max="1" width="4.140625" style="1280" customWidth="1"/>
    <col min="2" max="2" width="21.5703125" style="1280" customWidth="1"/>
    <col min="3" max="3" width="7.7109375" style="1280" customWidth="1"/>
    <col min="4" max="4" width="7" style="1280" customWidth="1"/>
    <col min="5" max="5" width="14.85546875" style="1280" customWidth="1"/>
    <col min="6" max="6" width="13.28515625" style="1280" customWidth="1"/>
    <col min="7" max="7" width="11.28515625" style="1280" customWidth="1"/>
    <col min="8" max="8" width="12.140625" style="1280" customWidth="1"/>
    <col min="9" max="10" width="12.7109375" style="1280" customWidth="1"/>
    <col min="11" max="11" width="13.140625" style="1280" customWidth="1"/>
    <col min="12" max="12" width="12.42578125" style="1280" customWidth="1"/>
    <col min="13" max="13" width="5.42578125" style="1280" customWidth="1"/>
    <col min="14" max="14" width="9.28515625" style="1280" customWidth="1"/>
    <col min="15" max="15" width="11.28515625" style="1280" customWidth="1"/>
    <col min="16" max="17" width="13.5703125" style="1280" customWidth="1"/>
    <col min="18" max="18" width="13.28515625" style="1280" customWidth="1"/>
    <col min="19" max="19" width="8.85546875" style="1280" customWidth="1"/>
    <col min="20" max="20" width="13.28515625" style="1280" customWidth="1"/>
    <col min="21" max="22" width="11.140625" style="1280" customWidth="1"/>
    <col min="23" max="23" width="14.140625" style="1280" customWidth="1"/>
    <col min="24" max="24" width="9.85546875" style="1280" customWidth="1"/>
    <col min="25" max="25" width="13.5703125" style="1280" customWidth="1"/>
    <col min="26" max="26" width="18.5703125" style="1280" customWidth="1"/>
    <col min="27" max="16384" width="10.28515625" style="1280"/>
  </cols>
  <sheetData>
    <row r="1" spans="1:27" s="350" customFormat="1" x14ac:dyDescent="0.25">
      <c r="A1" s="1801" t="s">
        <v>1047</v>
      </c>
      <c r="B1" s="1801"/>
      <c r="C1" s="1801"/>
      <c r="D1" s="1801"/>
      <c r="E1" s="1801"/>
      <c r="F1" s="1801"/>
      <c r="G1" s="1801"/>
      <c r="H1" s="1801"/>
      <c r="I1" s="1184"/>
      <c r="J1" s="1184"/>
      <c r="K1" s="1184"/>
      <c r="L1" s="1184"/>
      <c r="M1" s="1184"/>
      <c r="N1" s="1184"/>
      <c r="O1" s="1184"/>
      <c r="P1" s="1184"/>
      <c r="Q1" s="1184"/>
      <c r="S1" s="1746"/>
      <c r="T1" s="1746"/>
      <c r="U1" s="1746"/>
      <c r="V1" s="1746"/>
      <c r="W1" s="1975" t="s">
        <v>1048</v>
      </c>
      <c r="X1" s="1975"/>
      <c r="Y1" s="1975"/>
    </row>
    <row r="2" spans="1:27" s="350" customFormat="1" ht="30" customHeight="1" x14ac:dyDescent="0.25">
      <c r="A2" s="1736"/>
      <c r="B2" s="1736"/>
      <c r="C2" s="1736"/>
      <c r="D2" s="1736"/>
      <c r="E2" s="1736"/>
      <c r="F2" s="1736"/>
      <c r="G2" s="1736"/>
      <c r="H2" s="1736"/>
      <c r="I2" s="1184"/>
      <c r="J2" s="1184"/>
      <c r="K2" s="1184"/>
      <c r="L2" s="1184"/>
      <c r="M2" s="1184"/>
      <c r="N2" s="1184"/>
      <c r="O2" s="1184"/>
      <c r="P2" s="1184"/>
      <c r="Q2" s="1184"/>
      <c r="R2" s="1740"/>
      <c r="S2" s="1740"/>
      <c r="T2" s="1740"/>
      <c r="U2" s="1740"/>
      <c r="V2" s="1740"/>
      <c r="W2" s="1976" t="s">
        <v>1049</v>
      </c>
      <c r="X2" s="1976"/>
      <c r="Y2" s="1976"/>
    </row>
    <row r="3" spans="1:27" s="350" customFormat="1" ht="18.75" x14ac:dyDescent="0.3">
      <c r="A3" s="1962" t="s">
        <v>1051</v>
      </c>
      <c r="B3" s="1962"/>
      <c r="C3" s="1962"/>
      <c r="D3" s="1962"/>
      <c r="E3" s="1962"/>
      <c r="F3" s="1962"/>
      <c r="G3" s="1962"/>
      <c r="H3" s="1962"/>
      <c r="I3" s="1962"/>
      <c r="J3" s="1962"/>
      <c r="K3" s="1962"/>
      <c r="L3" s="1962"/>
      <c r="M3" s="1962"/>
      <c r="N3" s="1962"/>
      <c r="O3" s="1962"/>
      <c r="P3" s="1962"/>
      <c r="Q3" s="1962"/>
      <c r="R3" s="1962"/>
      <c r="S3" s="1962"/>
      <c r="T3" s="1962"/>
      <c r="U3" s="1962"/>
      <c r="V3" s="1962"/>
      <c r="W3" s="1962"/>
      <c r="X3" s="1962"/>
      <c r="Y3" s="1962"/>
    </row>
    <row r="4" spans="1:27" s="350" customFormat="1" ht="18.75" x14ac:dyDescent="0.3">
      <c r="A4" s="1963" t="str">
        <f>'48N'!A4:F4</f>
        <v>(Kèm theo Tờ trình số    /TTr-KTHT&amp;ĐT ngày      /4/2026 của phòng KTHT&amp;ĐT phường Đức Xuân)</v>
      </c>
      <c r="B4" s="1963"/>
      <c r="C4" s="1963"/>
      <c r="D4" s="1963"/>
      <c r="E4" s="1963"/>
      <c r="F4" s="1963"/>
      <c r="G4" s="1963"/>
      <c r="H4" s="1963"/>
      <c r="I4" s="1963"/>
      <c r="J4" s="1963"/>
      <c r="K4" s="1963"/>
      <c r="L4" s="1963"/>
      <c r="M4" s="1963"/>
      <c r="N4" s="1963"/>
      <c r="O4" s="1963"/>
      <c r="P4" s="1963"/>
      <c r="Q4" s="1963"/>
      <c r="R4" s="1963"/>
      <c r="S4" s="1963"/>
      <c r="T4" s="1963"/>
      <c r="U4" s="1963"/>
      <c r="V4" s="1963"/>
      <c r="W4" s="1963"/>
      <c r="X4" s="1963"/>
      <c r="Y4" s="1963"/>
    </row>
    <row r="5" spans="1:27" s="350" customFormat="1" x14ac:dyDescent="0.25">
      <c r="A5" s="780"/>
      <c r="B5" s="780"/>
      <c r="C5" s="780"/>
      <c r="D5" s="780"/>
      <c r="E5" s="1185"/>
      <c r="F5" s="780"/>
      <c r="G5" s="780"/>
      <c r="H5" s="780"/>
      <c r="I5" s="1185"/>
      <c r="J5" s="1186"/>
      <c r="K5" s="1185"/>
      <c r="L5" s="1185"/>
      <c r="M5" s="780"/>
      <c r="N5" s="780"/>
      <c r="O5" s="780"/>
      <c r="P5" s="1185"/>
      <c r="Q5" s="1187"/>
      <c r="R5" s="1187"/>
      <c r="S5" s="1281"/>
      <c r="T5" s="1282"/>
      <c r="U5" s="1283"/>
      <c r="V5" s="1283"/>
      <c r="W5" s="1283"/>
      <c r="X5" s="1977" t="s">
        <v>950</v>
      </c>
      <c r="Y5" s="1977"/>
    </row>
    <row r="6" spans="1:27" s="350" customFormat="1" ht="31.5" customHeight="1" x14ac:dyDescent="0.25">
      <c r="A6" s="1957" t="s">
        <v>659</v>
      </c>
      <c r="B6" s="1957" t="s">
        <v>2</v>
      </c>
      <c r="C6" s="1964" t="s">
        <v>660</v>
      </c>
      <c r="D6" s="1967" t="s">
        <v>661</v>
      </c>
      <c r="E6" s="1957" t="s">
        <v>662</v>
      </c>
      <c r="F6" s="1957" t="s">
        <v>663</v>
      </c>
      <c r="G6" s="1957"/>
      <c r="H6" s="1957" t="s">
        <v>664</v>
      </c>
      <c r="I6" s="1957" t="s">
        <v>665</v>
      </c>
      <c r="J6" s="1957" t="s">
        <v>666</v>
      </c>
      <c r="K6" s="1957"/>
      <c r="L6" s="1957"/>
      <c r="M6" s="1957"/>
      <c r="N6" s="1957"/>
      <c r="O6" s="1957"/>
      <c r="P6" s="1957" t="s">
        <v>667</v>
      </c>
      <c r="Q6" s="1957"/>
      <c r="R6" s="1957"/>
      <c r="S6" s="1957"/>
      <c r="T6" s="1957"/>
      <c r="U6" s="1957"/>
      <c r="V6" s="1944" t="s">
        <v>668</v>
      </c>
      <c r="W6" s="1957" t="s">
        <v>669</v>
      </c>
      <c r="X6" s="1957" t="s">
        <v>670</v>
      </c>
      <c r="Y6" s="1957" t="s">
        <v>671</v>
      </c>
    </row>
    <row r="7" spans="1:27" s="350" customFormat="1" x14ac:dyDescent="0.25">
      <c r="A7" s="1957"/>
      <c r="B7" s="1957"/>
      <c r="C7" s="1965"/>
      <c r="D7" s="1967"/>
      <c r="E7" s="1957"/>
      <c r="F7" s="1957"/>
      <c r="G7" s="1957"/>
      <c r="H7" s="1957"/>
      <c r="I7" s="1957"/>
      <c r="J7" s="1957" t="s">
        <v>672</v>
      </c>
      <c r="K7" s="1957" t="s">
        <v>673</v>
      </c>
      <c r="L7" s="1957"/>
      <c r="M7" s="1957"/>
      <c r="N7" s="1957" t="s">
        <v>674</v>
      </c>
      <c r="O7" s="1957" t="s">
        <v>675</v>
      </c>
      <c r="P7" s="1957" t="s">
        <v>676</v>
      </c>
      <c r="Q7" s="1957" t="s">
        <v>673</v>
      </c>
      <c r="R7" s="1957"/>
      <c r="S7" s="1957"/>
      <c r="T7" s="1957" t="s">
        <v>677</v>
      </c>
      <c r="U7" s="1957" t="s">
        <v>675</v>
      </c>
      <c r="V7" s="1945"/>
      <c r="W7" s="1957"/>
      <c r="X7" s="1957"/>
      <c r="Y7" s="1957"/>
    </row>
    <row r="8" spans="1:27" s="350" customFormat="1" ht="127.5" customHeight="1" x14ac:dyDescent="0.25">
      <c r="A8" s="1957"/>
      <c r="B8" s="1957"/>
      <c r="C8" s="1966"/>
      <c r="D8" s="1967"/>
      <c r="E8" s="1957"/>
      <c r="F8" s="1742" t="s">
        <v>15</v>
      </c>
      <c r="G8" s="1742" t="s">
        <v>678</v>
      </c>
      <c r="H8" s="1957"/>
      <c r="I8" s="1957"/>
      <c r="J8" s="1957"/>
      <c r="K8" s="1742" t="s">
        <v>15</v>
      </c>
      <c r="L8" s="1742" t="s">
        <v>679</v>
      </c>
      <c r="M8" s="1742" t="s">
        <v>680</v>
      </c>
      <c r="N8" s="1957"/>
      <c r="O8" s="1957"/>
      <c r="P8" s="1957"/>
      <c r="Q8" s="1742" t="s">
        <v>15</v>
      </c>
      <c r="R8" s="1742" t="s">
        <v>679</v>
      </c>
      <c r="S8" s="1742" t="s">
        <v>680</v>
      </c>
      <c r="T8" s="1957"/>
      <c r="U8" s="1957"/>
      <c r="V8" s="1946"/>
      <c r="W8" s="1957"/>
      <c r="X8" s="1957"/>
      <c r="Y8" s="1957"/>
    </row>
    <row r="9" spans="1:27" s="1190" customFormat="1" ht="19.5" customHeight="1" x14ac:dyDescent="0.15">
      <c r="A9" s="1134">
        <v>1</v>
      </c>
      <c r="B9" s="1134">
        <v>2</v>
      </c>
      <c r="C9" s="1134">
        <v>3</v>
      </c>
      <c r="D9" s="1134">
        <v>4</v>
      </c>
      <c r="E9" s="1134">
        <v>5</v>
      </c>
      <c r="F9" s="1134">
        <v>6</v>
      </c>
      <c r="G9" s="1134">
        <v>7</v>
      </c>
      <c r="H9" s="1134">
        <v>8</v>
      </c>
      <c r="I9" s="1134">
        <v>9</v>
      </c>
      <c r="J9" s="1188">
        <v>10</v>
      </c>
      <c r="K9" s="1134" t="s">
        <v>44</v>
      </c>
      <c r="L9" s="1134">
        <v>12</v>
      </c>
      <c r="M9" s="1134">
        <v>13</v>
      </c>
      <c r="N9" s="1134">
        <v>14</v>
      </c>
      <c r="O9" s="1134" t="s">
        <v>681</v>
      </c>
      <c r="P9" s="1134">
        <v>16</v>
      </c>
      <c r="Q9" s="1134" t="s">
        <v>682</v>
      </c>
      <c r="R9" s="1134">
        <v>18</v>
      </c>
      <c r="S9" s="1134">
        <v>19</v>
      </c>
      <c r="T9" s="1134">
        <v>20</v>
      </c>
      <c r="U9" s="1134" t="s">
        <v>683</v>
      </c>
      <c r="V9" s="1134">
        <v>22</v>
      </c>
      <c r="W9" s="1137" t="s">
        <v>684</v>
      </c>
      <c r="X9" s="1137" t="s">
        <v>685</v>
      </c>
      <c r="Y9" s="1137" t="s">
        <v>698</v>
      </c>
      <c r="Z9" s="1189"/>
    </row>
    <row r="10" spans="1:27" s="350" customFormat="1" ht="25.5" customHeight="1" x14ac:dyDescent="0.25">
      <c r="A10" s="1743"/>
      <c r="B10" s="1743" t="s">
        <v>699</v>
      </c>
      <c r="C10" s="1743"/>
      <c r="D10" s="1743"/>
      <c r="E10" s="1191">
        <f t="shared" ref="E10:U10" si="0">E16+E33+E41</f>
        <v>140319872294</v>
      </c>
      <c r="F10" s="1191">
        <f t="shared" si="0"/>
        <v>58284540375</v>
      </c>
      <c r="G10" s="1191">
        <f t="shared" si="0"/>
        <v>503470316</v>
      </c>
      <c r="H10" s="1191">
        <f t="shared" si="0"/>
        <v>79530000</v>
      </c>
      <c r="I10" s="1191">
        <f t="shared" si="0"/>
        <v>423940316</v>
      </c>
      <c r="J10" s="1191">
        <f t="shared" si="0"/>
        <v>1356146400</v>
      </c>
      <c r="K10" s="1191">
        <f t="shared" si="0"/>
        <v>1343111295</v>
      </c>
      <c r="L10" s="1191">
        <f t="shared" si="0"/>
        <v>1343111295</v>
      </c>
      <c r="M10" s="1191">
        <f t="shared" si="0"/>
        <v>0</v>
      </c>
      <c r="N10" s="1191">
        <f t="shared" si="0"/>
        <v>0</v>
      </c>
      <c r="O10" s="1191">
        <f t="shared" si="0"/>
        <v>13035105</v>
      </c>
      <c r="P10" s="1191">
        <f t="shared" si="0"/>
        <v>13215200000</v>
      </c>
      <c r="Q10" s="1191">
        <f t="shared" si="0"/>
        <v>13142960977</v>
      </c>
      <c r="R10" s="1191">
        <f t="shared" si="0"/>
        <v>13142960977</v>
      </c>
      <c r="S10" s="1191">
        <f t="shared" si="0"/>
        <v>0</v>
      </c>
      <c r="T10" s="1191">
        <f t="shared" si="0"/>
        <v>30587731</v>
      </c>
      <c r="U10" s="1191">
        <f t="shared" si="0"/>
        <v>41651292</v>
      </c>
      <c r="V10" s="1191"/>
      <c r="W10" s="1191">
        <f>W16+W33+W41</f>
        <v>14910012588</v>
      </c>
      <c r="X10" s="1191">
        <f>X16+X33+X41</f>
        <v>0</v>
      </c>
      <c r="Y10" s="1191">
        <f>Y16+Y33+Y41</f>
        <v>72691082647</v>
      </c>
      <c r="Z10" s="1192"/>
      <c r="AA10" s="1192"/>
    </row>
    <row r="11" spans="1:27" s="1196" customFormat="1" ht="22.5" customHeight="1" x14ac:dyDescent="0.25">
      <c r="A11" s="1193" t="s">
        <v>688</v>
      </c>
      <c r="B11" s="1194" t="s">
        <v>54</v>
      </c>
      <c r="C11" s="1194"/>
      <c r="D11" s="1195"/>
      <c r="E11" s="1147"/>
      <c r="F11" s="1147"/>
      <c r="G11" s="1147"/>
      <c r="H11" s="1147"/>
      <c r="I11" s="1147"/>
      <c r="J11" s="1147"/>
      <c r="K11" s="1147"/>
      <c r="L11" s="1147"/>
      <c r="M11" s="1147"/>
      <c r="N11" s="1147"/>
      <c r="O11" s="1147"/>
      <c r="P11" s="1147"/>
      <c r="Q11" s="1147"/>
      <c r="R11" s="1147"/>
      <c r="S11" s="1147"/>
      <c r="T11" s="1147"/>
      <c r="U11" s="1147"/>
      <c r="V11" s="1147"/>
      <c r="W11" s="1147"/>
      <c r="X11" s="1147"/>
      <c r="Y11" s="1147"/>
    </row>
    <row r="12" spans="1:27" s="1196" customFormat="1" ht="27.75" customHeight="1" x14ac:dyDescent="0.25">
      <c r="A12" s="1193"/>
      <c r="B12" s="1197" t="s">
        <v>689</v>
      </c>
      <c r="C12" s="1197"/>
      <c r="D12" s="1195"/>
      <c r="E12" s="1151"/>
      <c r="F12" s="1151"/>
      <c r="G12" s="1151"/>
      <c r="H12" s="1151"/>
      <c r="I12" s="1151"/>
      <c r="J12" s="1151"/>
      <c r="K12" s="1151"/>
      <c r="L12" s="1151"/>
      <c r="M12" s="1151"/>
      <c r="N12" s="1151"/>
      <c r="O12" s="1151"/>
      <c r="P12" s="1151"/>
      <c r="Q12" s="1151"/>
      <c r="R12" s="1151"/>
      <c r="S12" s="1151"/>
      <c r="T12" s="1151"/>
      <c r="U12" s="1151"/>
      <c r="V12" s="1151"/>
      <c r="W12" s="1151"/>
      <c r="X12" s="1151"/>
      <c r="Y12" s="1151"/>
    </row>
    <row r="13" spans="1:27" s="1196" customFormat="1" ht="27.75" customHeight="1" x14ac:dyDescent="0.25">
      <c r="A13" s="1193"/>
      <c r="B13" s="1197" t="s">
        <v>690</v>
      </c>
      <c r="C13" s="1197"/>
      <c r="D13" s="1195"/>
      <c r="E13" s="1151">
        <f t="shared" ref="E13:U13" si="1">E16+E33+E41</f>
        <v>140319872294</v>
      </c>
      <c r="F13" s="1151">
        <f t="shared" si="1"/>
        <v>58284540375</v>
      </c>
      <c r="G13" s="1151">
        <f t="shared" si="1"/>
        <v>503470316</v>
      </c>
      <c r="H13" s="1151">
        <f t="shared" si="1"/>
        <v>79530000</v>
      </c>
      <c r="I13" s="1151">
        <f t="shared" si="1"/>
        <v>423940316</v>
      </c>
      <c r="J13" s="1151">
        <f t="shared" si="1"/>
        <v>1356146400</v>
      </c>
      <c r="K13" s="1151">
        <f t="shared" si="1"/>
        <v>1343111295</v>
      </c>
      <c r="L13" s="1151">
        <f t="shared" si="1"/>
        <v>1343111295</v>
      </c>
      <c r="M13" s="1151">
        <f t="shared" si="1"/>
        <v>0</v>
      </c>
      <c r="N13" s="1151">
        <f t="shared" si="1"/>
        <v>0</v>
      </c>
      <c r="O13" s="1151">
        <f t="shared" si="1"/>
        <v>13035105</v>
      </c>
      <c r="P13" s="1151">
        <f t="shared" si="1"/>
        <v>13215200000</v>
      </c>
      <c r="Q13" s="1151">
        <f t="shared" si="1"/>
        <v>13142960977</v>
      </c>
      <c r="R13" s="1151">
        <f t="shared" si="1"/>
        <v>13142960977</v>
      </c>
      <c r="S13" s="1151">
        <f t="shared" si="1"/>
        <v>0</v>
      </c>
      <c r="T13" s="1151">
        <f t="shared" si="1"/>
        <v>30587731</v>
      </c>
      <c r="U13" s="1151">
        <f t="shared" si="1"/>
        <v>41651292</v>
      </c>
      <c r="V13" s="1151"/>
      <c r="W13" s="1151">
        <f>W16+W33+W41</f>
        <v>14910012588</v>
      </c>
      <c r="X13" s="1151">
        <f>X16+X33+X41</f>
        <v>0</v>
      </c>
      <c r="Y13" s="1151">
        <f>Y16+Y33+Y41</f>
        <v>72691082647</v>
      </c>
    </row>
    <row r="14" spans="1:27" s="1201" customFormat="1" ht="31.5" customHeight="1" x14ac:dyDescent="0.25">
      <c r="A14" s="1198">
        <v>1</v>
      </c>
      <c r="B14" s="1199" t="s">
        <v>700</v>
      </c>
      <c r="C14" s="1199"/>
      <c r="D14" s="1200"/>
      <c r="E14" s="1147">
        <f>E18+E23</f>
        <v>30492531634</v>
      </c>
      <c r="F14" s="1147">
        <f t="shared" ref="F14:Y14" si="2">F18+F23</f>
        <v>1150000000</v>
      </c>
      <c r="G14" s="1147">
        <f t="shared" si="2"/>
        <v>0</v>
      </c>
      <c r="H14" s="1147">
        <f t="shared" si="2"/>
        <v>0</v>
      </c>
      <c r="I14" s="1147">
        <f t="shared" si="2"/>
        <v>0</v>
      </c>
      <c r="J14" s="1147">
        <f t="shared" si="2"/>
        <v>0</v>
      </c>
      <c r="K14" s="1147">
        <f t="shared" si="2"/>
        <v>0</v>
      </c>
      <c r="L14" s="1147">
        <f t="shared" si="2"/>
        <v>0</v>
      </c>
      <c r="M14" s="1147">
        <f t="shared" si="2"/>
        <v>0</v>
      </c>
      <c r="N14" s="1147">
        <f t="shared" si="2"/>
        <v>0</v>
      </c>
      <c r="O14" s="1147">
        <f t="shared" si="2"/>
        <v>0</v>
      </c>
      <c r="P14" s="1147">
        <f t="shared" si="2"/>
        <v>11804000000</v>
      </c>
      <c r="Q14" s="1147">
        <f t="shared" si="2"/>
        <v>11740943977</v>
      </c>
      <c r="R14" s="1147">
        <f t="shared" si="2"/>
        <v>11740943977</v>
      </c>
      <c r="S14" s="1147">
        <f t="shared" si="2"/>
        <v>0</v>
      </c>
      <c r="T14" s="1147">
        <f t="shared" si="2"/>
        <v>30587731</v>
      </c>
      <c r="U14" s="1147">
        <f t="shared" si="2"/>
        <v>32468292</v>
      </c>
      <c r="V14" s="1147"/>
      <c r="W14" s="1147">
        <f t="shared" si="2"/>
        <v>11740943977</v>
      </c>
      <c r="X14" s="1147">
        <f t="shared" si="2"/>
        <v>0</v>
      </c>
      <c r="Y14" s="1147">
        <f t="shared" si="2"/>
        <v>12890943977</v>
      </c>
    </row>
    <row r="15" spans="1:27" s="1201" customFormat="1" ht="31.5" customHeight="1" x14ac:dyDescent="0.25">
      <c r="A15" s="1198">
        <v>2</v>
      </c>
      <c r="B15" s="1199" t="s">
        <v>701</v>
      </c>
      <c r="C15" s="1199"/>
      <c r="D15" s="1200"/>
      <c r="E15" s="1147">
        <f>E26+E29+E35+E38+E43+E46</f>
        <v>109827340660</v>
      </c>
      <c r="F15" s="1147">
        <f t="shared" ref="F15:Y15" si="3">F26+F29+F35+F38+F43+F46</f>
        <v>57134540375</v>
      </c>
      <c r="G15" s="1147">
        <f t="shared" si="3"/>
        <v>503470316</v>
      </c>
      <c r="H15" s="1147">
        <f t="shared" si="3"/>
        <v>79530000</v>
      </c>
      <c r="I15" s="1147">
        <f t="shared" si="3"/>
        <v>423940316</v>
      </c>
      <c r="J15" s="1147">
        <f t="shared" si="3"/>
        <v>1356146400</v>
      </c>
      <c r="K15" s="1147">
        <f t="shared" si="3"/>
        <v>1343111295</v>
      </c>
      <c r="L15" s="1147">
        <f t="shared" si="3"/>
        <v>1343111295</v>
      </c>
      <c r="M15" s="1147">
        <f t="shared" si="3"/>
        <v>0</v>
      </c>
      <c r="N15" s="1147">
        <f t="shared" si="3"/>
        <v>0</v>
      </c>
      <c r="O15" s="1147">
        <f t="shared" si="3"/>
        <v>13035105</v>
      </c>
      <c r="P15" s="1147">
        <f t="shared" si="3"/>
        <v>1402200000</v>
      </c>
      <c r="Q15" s="1147">
        <f t="shared" si="3"/>
        <v>1402017000</v>
      </c>
      <c r="R15" s="1147">
        <f t="shared" si="3"/>
        <v>1402017000</v>
      </c>
      <c r="S15" s="1147">
        <f t="shared" si="3"/>
        <v>0</v>
      </c>
      <c r="T15" s="1147">
        <f t="shared" si="3"/>
        <v>0</v>
      </c>
      <c r="U15" s="1147">
        <f t="shared" si="3"/>
        <v>183000</v>
      </c>
      <c r="V15" s="1147">
        <f t="shared" si="3"/>
        <v>0</v>
      </c>
      <c r="W15" s="1147">
        <f t="shared" si="3"/>
        <v>3169068611</v>
      </c>
      <c r="X15" s="1147">
        <f t="shared" si="3"/>
        <v>0</v>
      </c>
      <c r="Y15" s="1147">
        <f t="shared" si="3"/>
        <v>59800138670</v>
      </c>
    </row>
    <row r="16" spans="1:27" s="350" customFormat="1" ht="30" customHeight="1" x14ac:dyDescent="0.25">
      <c r="A16" s="1202" t="s">
        <v>4</v>
      </c>
      <c r="B16" s="1203" t="s">
        <v>692</v>
      </c>
      <c r="C16" s="1204"/>
      <c r="D16" s="1202"/>
      <c r="E16" s="1205">
        <f>E17+E22+E28+E32</f>
        <v>40359760154</v>
      </c>
      <c r="F16" s="1205">
        <f t="shared" ref="F16:Y16" si="4">F17+F22+F28+F32</f>
        <v>6700000000</v>
      </c>
      <c r="G16" s="1205">
        <f t="shared" si="4"/>
        <v>0</v>
      </c>
      <c r="H16" s="1205">
        <f t="shared" si="4"/>
        <v>0</v>
      </c>
      <c r="I16" s="1205">
        <f t="shared" si="4"/>
        <v>0</v>
      </c>
      <c r="J16" s="1205">
        <f t="shared" si="4"/>
        <v>588000000</v>
      </c>
      <c r="K16" s="1205">
        <f t="shared" si="4"/>
        <v>588000000</v>
      </c>
      <c r="L16" s="1205">
        <f t="shared" si="4"/>
        <v>588000000</v>
      </c>
      <c r="M16" s="1205">
        <f t="shared" si="4"/>
        <v>0</v>
      </c>
      <c r="N16" s="1205">
        <f t="shared" si="4"/>
        <v>0</v>
      </c>
      <c r="O16" s="1205">
        <f t="shared" si="4"/>
        <v>0</v>
      </c>
      <c r="P16" s="1205">
        <f t="shared" si="4"/>
        <v>13215200000</v>
      </c>
      <c r="Q16" s="1205">
        <f t="shared" si="4"/>
        <v>13142960977</v>
      </c>
      <c r="R16" s="1205">
        <f t="shared" si="4"/>
        <v>13142960977</v>
      </c>
      <c r="S16" s="1205">
        <f t="shared" si="4"/>
        <v>0</v>
      </c>
      <c r="T16" s="1205">
        <f t="shared" si="4"/>
        <v>30587731</v>
      </c>
      <c r="U16" s="1205">
        <f t="shared" si="4"/>
        <v>41651292</v>
      </c>
      <c r="V16" s="1205">
        <f t="shared" si="4"/>
        <v>0</v>
      </c>
      <c r="W16" s="1205">
        <f t="shared" si="4"/>
        <v>13730960977</v>
      </c>
      <c r="X16" s="1205">
        <f t="shared" si="4"/>
        <v>0</v>
      </c>
      <c r="Y16" s="1205">
        <f t="shared" si="4"/>
        <v>20430960977</v>
      </c>
      <c r="Z16" s="1192"/>
    </row>
    <row r="17" spans="1:26" s="350" customFormat="1" ht="28.15" customHeight="1" x14ac:dyDescent="0.25">
      <c r="A17" s="1743" t="s">
        <v>6</v>
      </c>
      <c r="B17" s="1206" t="s">
        <v>654</v>
      </c>
      <c r="C17" s="1206"/>
      <c r="D17" s="1207"/>
      <c r="E17" s="1208">
        <f>E18</f>
        <v>22657265817</v>
      </c>
      <c r="F17" s="1208">
        <f t="shared" ref="F17:Y17" si="5">F18</f>
        <v>0</v>
      </c>
      <c r="G17" s="1208">
        <f t="shared" si="5"/>
        <v>0</v>
      </c>
      <c r="H17" s="1208">
        <f t="shared" si="5"/>
        <v>0</v>
      </c>
      <c r="I17" s="1208">
        <f t="shared" si="5"/>
        <v>0</v>
      </c>
      <c r="J17" s="1208">
        <f t="shared" si="5"/>
        <v>0</v>
      </c>
      <c r="K17" s="1208">
        <f t="shared" si="5"/>
        <v>0</v>
      </c>
      <c r="L17" s="1208">
        <f t="shared" si="5"/>
        <v>0</v>
      </c>
      <c r="M17" s="1208">
        <f t="shared" si="5"/>
        <v>0</v>
      </c>
      <c r="N17" s="1208">
        <f t="shared" si="5"/>
        <v>0</v>
      </c>
      <c r="O17" s="1208">
        <f t="shared" si="5"/>
        <v>0</v>
      </c>
      <c r="P17" s="1208">
        <f>P18</f>
        <v>8203000000</v>
      </c>
      <c r="Q17" s="1208">
        <f t="shared" si="5"/>
        <v>8170875500</v>
      </c>
      <c r="R17" s="1208">
        <f t="shared" si="5"/>
        <v>8170875500</v>
      </c>
      <c r="S17" s="1208">
        <f t="shared" si="5"/>
        <v>0</v>
      </c>
      <c r="T17" s="1208">
        <f t="shared" si="5"/>
        <v>0</v>
      </c>
      <c r="U17" s="1208">
        <f t="shared" si="5"/>
        <v>32124500</v>
      </c>
      <c r="V17" s="1208"/>
      <c r="W17" s="1208">
        <f t="shared" si="5"/>
        <v>8170875500</v>
      </c>
      <c r="X17" s="1208">
        <f t="shared" si="5"/>
        <v>0</v>
      </c>
      <c r="Y17" s="1208">
        <f t="shared" si="5"/>
        <v>8170875500</v>
      </c>
    </row>
    <row r="18" spans="1:26" s="350" customFormat="1" ht="34.5" customHeight="1" x14ac:dyDescent="0.25">
      <c r="A18" s="1209"/>
      <c r="B18" s="1210" t="s">
        <v>691</v>
      </c>
      <c r="C18" s="1211"/>
      <c r="D18" s="1212"/>
      <c r="E18" s="1213">
        <f t="shared" ref="E18:O18" si="6">SUM(E19:E21)</f>
        <v>22657265817</v>
      </c>
      <c r="F18" s="1213">
        <f t="shared" si="6"/>
        <v>0</v>
      </c>
      <c r="G18" s="1213">
        <f t="shared" si="6"/>
        <v>0</v>
      </c>
      <c r="H18" s="1213">
        <f t="shared" si="6"/>
        <v>0</v>
      </c>
      <c r="I18" s="1213">
        <f t="shared" si="6"/>
        <v>0</v>
      </c>
      <c r="J18" s="1213">
        <f t="shared" si="6"/>
        <v>0</v>
      </c>
      <c r="K18" s="1213">
        <f t="shared" si="6"/>
        <v>0</v>
      </c>
      <c r="L18" s="1213">
        <f t="shared" si="6"/>
        <v>0</v>
      </c>
      <c r="M18" s="1213">
        <f t="shared" si="6"/>
        <v>0</v>
      </c>
      <c r="N18" s="1213">
        <f t="shared" si="6"/>
        <v>0</v>
      </c>
      <c r="O18" s="1213">
        <f t="shared" si="6"/>
        <v>0</v>
      </c>
      <c r="P18" s="1213">
        <f>SUM(P19:P21)</f>
        <v>8203000000</v>
      </c>
      <c r="Q18" s="1213">
        <f t="shared" ref="Q18:Y18" si="7">SUM(Q19:Q21)</f>
        <v>8170875500</v>
      </c>
      <c r="R18" s="1213">
        <f t="shared" si="7"/>
        <v>8170875500</v>
      </c>
      <c r="S18" s="1213">
        <f t="shared" si="7"/>
        <v>0</v>
      </c>
      <c r="T18" s="1213">
        <f t="shared" si="7"/>
        <v>0</v>
      </c>
      <c r="U18" s="1213">
        <f t="shared" si="7"/>
        <v>32124500</v>
      </c>
      <c r="V18" s="1213">
        <f t="shared" si="7"/>
        <v>0</v>
      </c>
      <c r="W18" s="1213">
        <f t="shared" si="7"/>
        <v>8170875500</v>
      </c>
      <c r="X18" s="1213">
        <f t="shared" si="7"/>
        <v>0</v>
      </c>
      <c r="Y18" s="1213">
        <f t="shared" si="7"/>
        <v>8170875500</v>
      </c>
    </row>
    <row r="19" spans="1:26" s="350" customFormat="1" ht="44.25" customHeight="1" x14ac:dyDescent="0.25">
      <c r="A19" s="1214" t="s">
        <v>8</v>
      </c>
      <c r="B19" s="1215" t="s">
        <v>430</v>
      </c>
      <c r="C19" s="1216" t="s">
        <v>694</v>
      </c>
      <c r="D19" s="1216">
        <v>8073025</v>
      </c>
      <c r="E19" s="1217">
        <v>14822000000</v>
      </c>
      <c r="F19" s="1217"/>
      <c r="G19" s="1217"/>
      <c r="H19" s="1217"/>
      <c r="I19" s="1217"/>
      <c r="J19" s="1218"/>
      <c r="K19" s="1218">
        <f>L19+M19</f>
        <v>0</v>
      </c>
      <c r="L19" s="1218"/>
      <c r="M19" s="1218"/>
      <c r="N19" s="1218"/>
      <c r="O19" s="1218">
        <f>J19-K19-N19</f>
        <v>0</v>
      </c>
      <c r="P19" s="1217">
        <v>5943000000</v>
      </c>
      <c r="Q19" s="1219">
        <f>R19+S19</f>
        <v>5910875500</v>
      </c>
      <c r="R19" s="1217">
        <v>5910875500</v>
      </c>
      <c r="S19" s="1217"/>
      <c r="T19" s="1217"/>
      <c r="U19" s="1217">
        <f>P19-Q19-T19</f>
        <v>32124500</v>
      </c>
      <c r="V19" s="1217"/>
      <c r="W19" s="1217">
        <f>I19+L19+R19</f>
        <v>5910875500</v>
      </c>
      <c r="X19" s="1217">
        <f>G19-H19-I19+M19+S19</f>
        <v>0</v>
      </c>
      <c r="Y19" s="563">
        <f>F19-H19+K19+Q19-V19</f>
        <v>5910875500</v>
      </c>
      <c r="Z19" s="1192"/>
    </row>
    <row r="20" spans="1:26" s="350" customFormat="1" ht="45" customHeight="1" x14ac:dyDescent="0.25">
      <c r="A20" s="1220" t="s">
        <v>38</v>
      </c>
      <c r="B20" s="1221" t="s">
        <v>436</v>
      </c>
      <c r="C20" s="1222" t="s">
        <v>694</v>
      </c>
      <c r="D20" s="1223">
        <v>8034987</v>
      </c>
      <c r="E20" s="1172">
        <v>5115265817</v>
      </c>
      <c r="F20" s="1172"/>
      <c r="G20" s="1217"/>
      <c r="H20" s="1217"/>
      <c r="I20" s="1217"/>
      <c r="J20" s="1218"/>
      <c r="K20" s="1218">
        <f>L20+M20</f>
        <v>0</v>
      </c>
      <c r="L20" s="1218"/>
      <c r="M20" s="1218"/>
      <c r="N20" s="1218"/>
      <c r="O20" s="1218">
        <f>J20-K20-N20</f>
        <v>0</v>
      </c>
      <c r="P20" s="1217">
        <v>1500000000</v>
      </c>
      <c r="Q20" s="1219">
        <f>R20+S20</f>
        <v>1500000000</v>
      </c>
      <c r="R20" s="1217">
        <v>1500000000</v>
      </c>
      <c r="S20" s="1217"/>
      <c r="T20" s="1217"/>
      <c r="U20" s="1217">
        <f>P20-Q20-T20</f>
        <v>0</v>
      </c>
      <c r="V20" s="1217"/>
      <c r="W20" s="1217">
        <f>I20+L20+R20</f>
        <v>1500000000</v>
      </c>
      <c r="X20" s="1217">
        <f>G20-H20-I20+M20+S20</f>
        <v>0</v>
      </c>
      <c r="Y20" s="563">
        <f>F20-H20+K20+Q20-V20</f>
        <v>1500000000</v>
      </c>
    </row>
    <row r="21" spans="1:26" s="350" customFormat="1" ht="33.75" customHeight="1" x14ac:dyDescent="0.25">
      <c r="A21" s="1214" t="s">
        <v>39</v>
      </c>
      <c r="B21" s="1215" t="s">
        <v>437</v>
      </c>
      <c r="C21" s="1169" t="s">
        <v>694</v>
      </c>
      <c r="D21" s="1227">
        <v>8161499</v>
      </c>
      <c r="E21" s="1217">
        <v>2720000000</v>
      </c>
      <c r="F21" s="1217"/>
      <c r="G21" s="1217"/>
      <c r="H21" s="1217"/>
      <c r="I21" s="1217"/>
      <c r="J21" s="1218"/>
      <c r="K21" s="1218">
        <f>L21+M21</f>
        <v>0</v>
      </c>
      <c r="L21" s="1218"/>
      <c r="M21" s="1218"/>
      <c r="N21" s="1218"/>
      <c r="O21" s="1218">
        <f>J21-K21-N21</f>
        <v>0</v>
      </c>
      <c r="P21" s="1217">
        <v>760000000</v>
      </c>
      <c r="Q21" s="1219">
        <f>R21+S21</f>
        <v>760000000</v>
      </c>
      <c r="R21" s="1217">
        <v>760000000</v>
      </c>
      <c r="S21" s="1217"/>
      <c r="T21" s="1217"/>
      <c r="U21" s="1217">
        <f>P21-Q21-T21</f>
        <v>0</v>
      </c>
      <c r="V21" s="1217"/>
      <c r="W21" s="1217">
        <f>I21+L21+R21</f>
        <v>760000000</v>
      </c>
      <c r="X21" s="1217">
        <f>G21-H21-I21+M21+S21</f>
        <v>0</v>
      </c>
      <c r="Y21" s="563">
        <f>F21-H21+K21+Q21-V21</f>
        <v>760000000</v>
      </c>
    </row>
    <row r="22" spans="1:26" s="350" customFormat="1" ht="28.15" customHeight="1" x14ac:dyDescent="0.25">
      <c r="A22" s="1743" t="s">
        <v>12</v>
      </c>
      <c r="B22" s="1206" t="s">
        <v>702</v>
      </c>
      <c r="C22" s="1206"/>
      <c r="D22" s="1207"/>
      <c r="E22" s="1208">
        <f>E23+E26</f>
        <v>15185265817</v>
      </c>
      <c r="F22" s="1208">
        <f t="shared" ref="F22:Y22" si="8">F23+F26</f>
        <v>6700000000</v>
      </c>
      <c r="G22" s="1208">
        <f t="shared" si="8"/>
        <v>0</v>
      </c>
      <c r="H22" s="1208">
        <f t="shared" si="8"/>
        <v>0</v>
      </c>
      <c r="I22" s="1208">
        <f t="shared" si="8"/>
        <v>0</v>
      </c>
      <c r="J22" s="1208">
        <f t="shared" si="8"/>
        <v>0</v>
      </c>
      <c r="K22" s="1208">
        <f t="shared" si="8"/>
        <v>0</v>
      </c>
      <c r="L22" s="1208">
        <f t="shared" si="8"/>
        <v>0</v>
      </c>
      <c r="M22" s="1208">
        <f t="shared" si="8"/>
        <v>0</v>
      </c>
      <c r="N22" s="1208">
        <f t="shared" si="8"/>
        <v>0</v>
      </c>
      <c r="O22" s="1208">
        <f t="shared" si="8"/>
        <v>0</v>
      </c>
      <c r="P22" s="1208">
        <f t="shared" si="8"/>
        <v>4256000000</v>
      </c>
      <c r="Q22" s="1208">
        <f t="shared" si="8"/>
        <v>4224885477</v>
      </c>
      <c r="R22" s="1208">
        <f t="shared" si="8"/>
        <v>4224885477</v>
      </c>
      <c r="S22" s="1208">
        <f t="shared" si="8"/>
        <v>0</v>
      </c>
      <c r="T22" s="1208">
        <f t="shared" si="8"/>
        <v>30587731</v>
      </c>
      <c r="U22" s="1208">
        <f t="shared" si="8"/>
        <v>526792</v>
      </c>
      <c r="V22" s="1208"/>
      <c r="W22" s="1208">
        <f t="shared" si="8"/>
        <v>4224885477</v>
      </c>
      <c r="X22" s="1208">
        <f t="shared" si="8"/>
        <v>0</v>
      </c>
      <c r="Y22" s="1208">
        <f t="shared" si="8"/>
        <v>10924885477</v>
      </c>
    </row>
    <row r="23" spans="1:26" s="350" customFormat="1" ht="34.5" customHeight="1" x14ac:dyDescent="0.25">
      <c r="A23" s="1224"/>
      <c r="B23" s="1210" t="s">
        <v>691</v>
      </c>
      <c r="C23" s="1225"/>
      <c r="D23" s="1226"/>
      <c r="E23" s="1213">
        <f>SUM(E24:E25)</f>
        <v>7835265817</v>
      </c>
      <c r="F23" s="1213">
        <f t="shared" ref="F23:Y23" si="9">SUM(F24:F25)</f>
        <v>1150000000</v>
      </c>
      <c r="G23" s="1213">
        <f t="shared" si="9"/>
        <v>0</v>
      </c>
      <c r="H23" s="1213">
        <f t="shared" si="9"/>
        <v>0</v>
      </c>
      <c r="I23" s="1213">
        <f t="shared" si="9"/>
        <v>0</v>
      </c>
      <c r="J23" s="1213">
        <f t="shared" si="9"/>
        <v>0</v>
      </c>
      <c r="K23" s="1213">
        <f t="shared" si="9"/>
        <v>0</v>
      </c>
      <c r="L23" s="1213">
        <f t="shared" si="9"/>
        <v>0</v>
      </c>
      <c r="M23" s="1213">
        <f t="shared" si="9"/>
        <v>0</v>
      </c>
      <c r="N23" s="1213">
        <f t="shared" si="9"/>
        <v>0</v>
      </c>
      <c r="O23" s="1213">
        <f t="shared" si="9"/>
        <v>0</v>
      </c>
      <c r="P23" s="1213">
        <f t="shared" si="9"/>
        <v>3601000000</v>
      </c>
      <c r="Q23" s="1213">
        <f t="shared" si="9"/>
        <v>3570068477</v>
      </c>
      <c r="R23" s="1213">
        <f t="shared" si="9"/>
        <v>3570068477</v>
      </c>
      <c r="S23" s="1213">
        <f t="shared" si="9"/>
        <v>0</v>
      </c>
      <c r="T23" s="1213">
        <f t="shared" si="9"/>
        <v>30587731</v>
      </c>
      <c r="U23" s="1213">
        <f t="shared" si="9"/>
        <v>343792</v>
      </c>
      <c r="V23" s="1213"/>
      <c r="W23" s="1213">
        <f t="shared" si="9"/>
        <v>3570068477</v>
      </c>
      <c r="X23" s="1213">
        <f t="shared" si="9"/>
        <v>0</v>
      </c>
      <c r="Y23" s="1213">
        <f t="shared" si="9"/>
        <v>4720068477</v>
      </c>
    </row>
    <row r="24" spans="1:26" s="350" customFormat="1" ht="33.75" customHeight="1" x14ac:dyDescent="0.25">
      <c r="A24" s="1214" t="s">
        <v>40</v>
      </c>
      <c r="B24" s="1215" t="s">
        <v>437</v>
      </c>
      <c r="C24" s="1169" t="s">
        <v>694</v>
      </c>
      <c r="D24" s="1227">
        <v>8161499</v>
      </c>
      <c r="E24" s="1217">
        <v>2720000000</v>
      </c>
      <c r="F24" s="1217"/>
      <c r="G24" s="1217"/>
      <c r="H24" s="1217"/>
      <c r="I24" s="1217"/>
      <c r="J24" s="1218"/>
      <c r="K24" s="1218">
        <f>L24+M24</f>
        <v>0</v>
      </c>
      <c r="L24" s="1218"/>
      <c r="M24" s="1218"/>
      <c r="N24" s="1218"/>
      <c r="O24" s="1218">
        <f>J24-K24-N24</f>
        <v>0</v>
      </c>
      <c r="P24" s="1217">
        <v>1960000000</v>
      </c>
      <c r="Q24" s="1219">
        <f>R24+S24</f>
        <v>1929412269</v>
      </c>
      <c r="R24" s="1217">
        <f>2689412269-760000000</f>
        <v>1929412269</v>
      </c>
      <c r="S24" s="1217"/>
      <c r="T24" s="1217">
        <v>30587731</v>
      </c>
      <c r="U24" s="1217">
        <f>P24-Q24-T24</f>
        <v>0</v>
      </c>
      <c r="V24" s="1217"/>
      <c r="W24" s="1217">
        <f>I24+L24+R24</f>
        <v>1929412269</v>
      </c>
      <c r="X24" s="1217">
        <f>G24-H24-I24+M24+S24</f>
        <v>0</v>
      </c>
      <c r="Y24" s="563">
        <f>F24-H24+K24+Q24-V24</f>
        <v>1929412269</v>
      </c>
    </row>
    <row r="25" spans="1:26" s="350" customFormat="1" ht="45" customHeight="1" x14ac:dyDescent="0.25">
      <c r="A25" s="1214" t="s">
        <v>41</v>
      </c>
      <c r="B25" s="1215" t="s">
        <v>436</v>
      </c>
      <c r="C25" s="1169" t="s">
        <v>694</v>
      </c>
      <c r="D25" s="1227">
        <v>8034987</v>
      </c>
      <c r="E25" s="1217">
        <v>5115265817</v>
      </c>
      <c r="F25" s="1217">
        <v>1150000000</v>
      </c>
      <c r="G25" s="1217"/>
      <c r="H25" s="1217"/>
      <c r="I25" s="1217"/>
      <c r="J25" s="1218"/>
      <c r="K25" s="1218">
        <f>L25+M25</f>
        <v>0</v>
      </c>
      <c r="L25" s="1218"/>
      <c r="M25" s="1218"/>
      <c r="N25" s="1218"/>
      <c r="O25" s="1218">
        <f>J25-K25-N25</f>
        <v>0</v>
      </c>
      <c r="P25" s="1217">
        <v>1641000000</v>
      </c>
      <c r="Q25" s="1219">
        <f>R25+S25</f>
        <v>1640656208</v>
      </c>
      <c r="R25" s="1217">
        <v>1640656208</v>
      </c>
      <c r="S25" s="1217"/>
      <c r="T25" s="1217"/>
      <c r="U25" s="1217">
        <f>P25-Q25-T25</f>
        <v>343792</v>
      </c>
      <c r="V25" s="1217"/>
      <c r="W25" s="1217">
        <f>I25+L25+R25</f>
        <v>1640656208</v>
      </c>
      <c r="X25" s="1217">
        <f>G25-H25-I25+M25+S25</f>
        <v>0</v>
      </c>
      <c r="Y25" s="563">
        <f>F25-H25+K25+Q25-V25</f>
        <v>2790656208</v>
      </c>
    </row>
    <row r="26" spans="1:26" s="350" customFormat="1" ht="34.5" customHeight="1" x14ac:dyDescent="0.25">
      <c r="A26" s="1228"/>
      <c r="B26" s="1163" t="s">
        <v>703</v>
      </c>
      <c r="C26" s="1229"/>
      <c r="D26" s="1227"/>
      <c r="E26" s="1166">
        <f>SUM(E27:E27)</f>
        <v>7350000000</v>
      </c>
      <c r="F26" s="1166">
        <f t="shared" ref="F26:Y26" si="10">SUM(F27:F27)</f>
        <v>5550000000</v>
      </c>
      <c r="G26" s="1166">
        <f t="shared" si="10"/>
        <v>0</v>
      </c>
      <c r="H26" s="1166">
        <f t="shared" si="10"/>
        <v>0</v>
      </c>
      <c r="I26" s="1166">
        <f t="shared" si="10"/>
        <v>0</v>
      </c>
      <c r="J26" s="1166">
        <f t="shared" si="10"/>
        <v>0</v>
      </c>
      <c r="K26" s="1166">
        <f t="shared" si="10"/>
        <v>0</v>
      </c>
      <c r="L26" s="1166">
        <f t="shared" si="10"/>
        <v>0</v>
      </c>
      <c r="M26" s="1166">
        <f t="shared" si="10"/>
        <v>0</v>
      </c>
      <c r="N26" s="1166">
        <f t="shared" si="10"/>
        <v>0</v>
      </c>
      <c r="O26" s="1166">
        <f t="shared" si="10"/>
        <v>0</v>
      </c>
      <c r="P26" s="1166">
        <f t="shared" si="10"/>
        <v>655000000</v>
      </c>
      <c r="Q26" s="1166">
        <f t="shared" si="10"/>
        <v>654817000</v>
      </c>
      <c r="R26" s="1166">
        <f t="shared" si="10"/>
        <v>654817000</v>
      </c>
      <c r="S26" s="1166">
        <f t="shared" si="10"/>
        <v>0</v>
      </c>
      <c r="T26" s="1166">
        <f t="shared" si="10"/>
        <v>0</v>
      </c>
      <c r="U26" s="1166">
        <f t="shared" si="10"/>
        <v>183000</v>
      </c>
      <c r="V26" s="1166"/>
      <c r="W26" s="1166">
        <f t="shared" si="10"/>
        <v>654817000</v>
      </c>
      <c r="X26" s="1166">
        <f t="shared" si="10"/>
        <v>0</v>
      </c>
      <c r="Y26" s="1166">
        <f t="shared" si="10"/>
        <v>6204817000</v>
      </c>
    </row>
    <row r="27" spans="1:26" s="350" customFormat="1" ht="52.5" customHeight="1" x14ac:dyDescent="0.25">
      <c r="A27" s="1214" t="s">
        <v>47</v>
      </c>
      <c r="B27" s="1215" t="s">
        <v>704</v>
      </c>
      <c r="C27" s="1230" t="s">
        <v>694</v>
      </c>
      <c r="D27" s="1227">
        <v>7967230</v>
      </c>
      <c r="E27" s="1219">
        <v>7350000000</v>
      </c>
      <c r="F27" s="1217">
        <v>5550000000</v>
      </c>
      <c r="G27" s="1217"/>
      <c r="H27" s="1217"/>
      <c r="I27" s="1217"/>
      <c r="J27" s="1217"/>
      <c r="K27" s="1218">
        <f>L27+M27</f>
        <v>0</v>
      </c>
      <c r="L27" s="1217"/>
      <c r="M27" s="1217"/>
      <c r="N27" s="1217"/>
      <c r="O27" s="1218">
        <f>J27-K27-N27</f>
        <v>0</v>
      </c>
      <c r="P27" s="1217">
        <v>655000000</v>
      </c>
      <c r="Q27" s="1219">
        <f>R27+S27</f>
        <v>654817000</v>
      </c>
      <c r="R27" s="1217">
        <v>654817000</v>
      </c>
      <c r="S27" s="1217"/>
      <c r="T27" s="1217"/>
      <c r="U27" s="1217">
        <f>P27-Q27-T27</f>
        <v>183000</v>
      </c>
      <c r="V27" s="1217"/>
      <c r="W27" s="1217">
        <f>I27+L27+R27</f>
        <v>654817000</v>
      </c>
      <c r="X27" s="1217">
        <f>G27-H27-I27+M27+S27</f>
        <v>0</v>
      </c>
      <c r="Y27" s="563">
        <f>F27-H27+K27+Q27-V27</f>
        <v>6204817000</v>
      </c>
      <c r="Z27" s="1192"/>
    </row>
    <row r="28" spans="1:26" s="350" customFormat="1" ht="26.25" customHeight="1" x14ac:dyDescent="0.25">
      <c r="A28" s="1743" t="s">
        <v>19</v>
      </c>
      <c r="B28" s="1206" t="s">
        <v>441</v>
      </c>
      <c r="C28" s="1206"/>
      <c r="D28" s="1207"/>
      <c r="E28" s="1208">
        <f>E29</f>
        <v>2517228520</v>
      </c>
      <c r="F28" s="1208">
        <f t="shared" ref="F28:U28" si="11">F29</f>
        <v>0</v>
      </c>
      <c r="G28" s="1208">
        <f t="shared" si="11"/>
        <v>0</v>
      </c>
      <c r="H28" s="1208">
        <f t="shared" si="11"/>
        <v>0</v>
      </c>
      <c r="I28" s="1208">
        <f t="shared" si="11"/>
        <v>0</v>
      </c>
      <c r="J28" s="1208">
        <f t="shared" si="11"/>
        <v>588000000</v>
      </c>
      <c r="K28" s="1208">
        <f t="shared" si="11"/>
        <v>588000000</v>
      </c>
      <c r="L28" s="1208">
        <f t="shared" si="11"/>
        <v>588000000</v>
      </c>
      <c r="M28" s="1208">
        <f t="shared" si="11"/>
        <v>0</v>
      </c>
      <c r="N28" s="1208">
        <f t="shared" si="11"/>
        <v>0</v>
      </c>
      <c r="O28" s="1208">
        <f t="shared" si="11"/>
        <v>0</v>
      </c>
      <c r="P28" s="1208">
        <f t="shared" si="11"/>
        <v>747200000</v>
      </c>
      <c r="Q28" s="1208">
        <f t="shared" si="11"/>
        <v>747200000</v>
      </c>
      <c r="R28" s="1208">
        <f t="shared" si="11"/>
        <v>747200000</v>
      </c>
      <c r="S28" s="1208">
        <f t="shared" si="11"/>
        <v>0</v>
      </c>
      <c r="T28" s="1208">
        <f t="shared" si="11"/>
        <v>0</v>
      </c>
      <c r="U28" s="1208">
        <f t="shared" si="11"/>
        <v>0</v>
      </c>
      <c r="V28" s="1208"/>
      <c r="W28" s="1208">
        <f t="shared" ref="W28:Y28" si="12">W29</f>
        <v>1335200000</v>
      </c>
      <c r="X28" s="1208">
        <f t="shared" si="12"/>
        <v>0</v>
      </c>
      <c r="Y28" s="1208">
        <f t="shared" si="12"/>
        <v>1335200000</v>
      </c>
    </row>
    <row r="29" spans="1:26" s="350" customFormat="1" ht="34.5" customHeight="1" x14ac:dyDescent="0.25">
      <c r="A29" s="1228"/>
      <c r="B29" s="1163" t="s">
        <v>703</v>
      </c>
      <c r="C29" s="1229"/>
      <c r="D29" s="1227"/>
      <c r="E29" s="1166">
        <f>SUM(E30:E31)</f>
        <v>2517228520</v>
      </c>
      <c r="F29" s="1166">
        <f t="shared" ref="F29:Y29" si="13">SUM(F30:F31)</f>
        <v>0</v>
      </c>
      <c r="G29" s="1166">
        <f t="shared" si="13"/>
        <v>0</v>
      </c>
      <c r="H29" s="1166">
        <f t="shared" si="13"/>
        <v>0</v>
      </c>
      <c r="I29" s="1166">
        <f t="shared" si="13"/>
        <v>0</v>
      </c>
      <c r="J29" s="1166">
        <f t="shared" si="13"/>
        <v>588000000</v>
      </c>
      <c r="K29" s="1166">
        <f t="shared" si="13"/>
        <v>588000000</v>
      </c>
      <c r="L29" s="1166">
        <f t="shared" si="13"/>
        <v>588000000</v>
      </c>
      <c r="M29" s="1166">
        <f t="shared" si="13"/>
        <v>0</v>
      </c>
      <c r="N29" s="1166">
        <f t="shared" si="13"/>
        <v>0</v>
      </c>
      <c r="O29" s="1166">
        <f t="shared" si="13"/>
        <v>0</v>
      </c>
      <c r="P29" s="1166">
        <f t="shared" si="13"/>
        <v>747200000</v>
      </c>
      <c r="Q29" s="1166">
        <f t="shared" si="13"/>
        <v>747200000</v>
      </c>
      <c r="R29" s="1166">
        <f t="shared" si="13"/>
        <v>747200000</v>
      </c>
      <c r="S29" s="1166">
        <f t="shared" si="13"/>
        <v>0</v>
      </c>
      <c r="T29" s="1166">
        <f t="shared" si="13"/>
        <v>0</v>
      </c>
      <c r="U29" s="1166">
        <f t="shared" si="13"/>
        <v>0</v>
      </c>
      <c r="V29" s="1166">
        <f t="shared" si="13"/>
        <v>0</v>
      </c>
      <c r="W29" s="1166">
        <f t="shared" si="13"/>
        <v>1335200000</v>
      </c>
      <c r="X29" s="1166">
        <f t="shared" si="13"/>
        <v>0</v>
      </c>
      <c r="Y29" s="1166">
        <f t="shared" si="13"/>
        <v>1335200000</v>
      </c>
    </row>
    <row r="30" spans="1:26" s="569" customFormat="1" ht="51.75" customHeight="1" x14ac:dyDescent="0.2">
      <c r="A30" s="1233" t="s">
        <v>319</v>
      </c>
      <c r="B30" s="1234" t="s">
        <v>705</v>
      </c>
      <c r="C30" s="1235" t="s">
        <v>694</v>
      </c>
      <c r="D30" s="1236">
        <v>8088021</v>
      </c>
      <c r="E30" s="1237">
        <v>1414696020</v>
      </c>
      <c r="F30" s="1238"/>
      <c r="G30" s="1238"/>
      <c r="H30" s="1238"/>
      <c r="I30" s="1238"/>
      <c r="J30" s="1238">
        <v>588000000</v>
      </c>
      <c r="K30" s="1239">
        <f t="shared" ref="K30" si="14">L30+M30</f>
        <v>588000000</v>
      </c>
      <c r="L30" s="1238">
        <v>588000000</v>
      </c>
      <c r="M30" s="1238"/>
      <c r="N30" s="1238"/>
      <c r="O30" s="1239">
        <f t="shared" ref="O30" si="15">J30-K30-N30</f>
        <v>0</v>
      </c>
      <c r="P30" s="1237">
        <v>507200000</v>
      </c>
      <c r="Q30" s="1240">
        <f t="shared" ref="Q30" si="16">R30+S30</f>
        <v>507200000</v>
      </c>
      <c r="R30" s="1238">
        <v>507200000</v>
      </c>
      <c r="S30" s="1238"/>
      <c r="T30" s="1238"/>
      <c r="U30" s="1241">
        <f t="shared" ref="U30" si="17">P30-Q30-T30</f>
        <v>0</v>
      </c>
      <c r="V30" s="1241"/>
      <c r="W30" s="1241">
        <f>I30+L30+R30</f>
        <v>1095200000</v>
      </c>
      <c r="X30" s="1241">
        <f>G30-H30-I30+M30+S30</f>
        <v>0</v>
      </c>
      <c r="Y30" s="1238">
        <f>F30-H30+K30+Q30-V30</f>
        <v>1095200000</v>
      </c>
    </row>
    <row r="31" spans="1:26" s="569" customFormat="1" ht="52.5" customHeight="1" x14ac:dyDescent="0.2">
      <c r="A31" s="1214" t="s">
        <v>596</v>
      </c>
      <c r="B31" s="1231" t="s">
        <v>440</v>
      </c>
      <c r="C31" s="1230" t="s">
        <v>694</v>
      </c>
      <c r="D31" s="1227">
        <v>8088020</v>
      </c>
      <c r="E31" s="1232">
        <v>1102532500</v>
      </c>
      <c r="F31" s="563"/>
      <c r="G31" s="563"/>
      <c r="H31" s="563"/>
      <c r="I31" s="563"/>
      <c r="J31" s="563"/>
      <c r="K31" s="1218">
        <f>L31+M31</f>
        <v>0</v>
      </c>
      <c r="L31" s="563"/>
      <c r="M31" s="563"/>
      <c r="N31" s="563"/>
      <c r="O31" s="1218">
        <f>J31-K31-N31</f>
        <v>0</v>
      </c>
      <c r="P31" s="1232">
        <v>240000000</v>
      </c>
      <c r="Q31" s="1219">
        <f>R31+S31</f>
        <v>240000000</v>
      </c>
      <c r="R31" s="563">
        <v>240000000</v>
      </c>
      <c r="S31" s="563"/>
      <c r="T31" s="563"/>
      <c r="U31" s="1217">
        <f>P31-Q31-T31</f>
        <v>0</v>
      </c>
      <c r="V31" s="1217"/>
      <c r="W31" s="1217">
        <f>I31+L31+R31</f>
        <v>240000000</v>
      </c>
      <c r="X31" s="1217">
        <f>G31-H31-I31+M31+S31</f>
        <v>0</v>
      </c>
      <c r="Y31" s="563">
        <f>F31-H31+K31+Q31-V31</f>
        <v>240000000</v>
      </c>
    </row>
    <row r="32" spans="1:26" s="350" customFormat="1" ht="26.25" customHeight="1" x14ac:dyDescent="0.25">
      <c r="A32" s="1743" t="s">
        <v>20</v>
      </c>
      <c r="B32" s="1206" t="s">
        <v>1050</v>
      </c>
      <c r="C32" s="1206"/>
      <c r="D32" s="1207"/>
      <c r="E32" s="1208"/>
      <c r="F32" s="1208"/>
      <c r="G32" s="1208"/>
      <c r="H32" s="1208"/>
      <c r="I32" s="1208"/>
      <c r="J32" s="1208"/>
      <c r="K32" s="1208"/>
      <c r="L32" s="1208"/>
      <c r="M32" s="1208"/>
      <c r="N32" s="1208"/>
      <c r="O32" s="1208"/>
      <c r="P32" s="1208">
        <v>9000000</v>
      </c>
      <c r="Q32" s="1208"/>
      <c r="R32" s="1208"/>
      <c r="S32" s="1208"/>
      <c r="T32" s="1208"/>
      <c r="U32" s="1208">
        <v>9000000</v>
      </c>
      <c r="V32" s="1208"/>
      <c r="W32" s="1208"/>
      <c r="X32" s="1208"/>
      <c r="Y32" s="1208"/>
    </row>
    <row r="33" spans="1:26" s="350" customFormat="1" ht="81" customHeight="1" x14ac:dyDescent="0.25">
      <c r="A33" s="1743" t="s">
        <v>5</v>
      </c>
      <c r="B33" s="1242" t="s">
        <v>443</v>
      </c>
      <c r="C33" s="1242"/>
      <c r="D33" s="1207"/>
      <c r="E33" s="1243">
        <f>E34+E37</f>
        <v>99222112140</v>
      </c>
      <c r="F33" s="1243">
        <f t="shared" ref="F33:Y33" si="18">F34+F37</f>
        <v>51289540375</v>
      </c>
      <c r="G33" s="1243">
        <f t="shared" si="18"/>
        <v>503470316</v>
      </c>
      <c r="H33" s="1243">
        <f t="shared" si="18"/>
        <v>79530000</v>
      </c>
      <c r="I33" s="1243">
        <f t="shared" si="18"/>
        <v>423940316</v>
      </c>
      <c r="J33" s="1243">
        <f t="shared" si="18"/>
        <v>694146400</v>
      </c>
      <c r="K33" s="1243">
        <f t="shared" si="18"/>
        <v>694146400</v>
      </c>
      <c r="L33" s="1243">
        <f t="shared" si="18"/>
        <v>694146400</v>
      </c>
      <c r="M33" s="1243">
        <f t="shared" si="18"/>
        <v>0</v>
      </c>
      <c r="N33" s="1243">
        <f t="shared" si="18"/>
        <v>0</v>
      </c>
      <c r="O33" s="1243">
        <f t="shared" si="18"/>
        <v>0</v>
      </c>
      <c r="P33" s="1243">
        <f t="shared" si="18"/>
        <v>0</v>
      </c>
      <c r="Q33" s="1243">
        <f t="shared" si="18"/>
        <v>0</v>
      </c>
      <c r="R33" s="1243">
        <f t="shared" si="18"/>
        <v>0</v>
      </c>
      <c r="S33" s="1243">
        <f t="shared" si="18"/>
        <v>0</v>
      </c>
      <c r="T33" s="1243">
        <f t="shared" si="18"/>
        <v>0</v>
      </c>
      <c r="U33" s="1243">
        <f t="shared" si="18"/>
        <v>0</v>
      </c>
      <c r="V33" s="1243"/>
      <c r="W33" s="1243">
        <f t="shared" si="18"/>
        <v>1118086716</v>
      </c>
      <c r="X33" s="1243">
        <f t="shared" si="18"/>
        <v>0</v>
      </c>
      <c r="Y33" s="1243">
        <f t="shared" si="18"/>
        <v>51904156775</v>
      </c>
    </row>
    <row r="34" spans="1:26" s="350" customFormat="1" ht="23.25" customHeight="1" x14ac:dyDescent="0.25">
      <c r="A34" s="1743" t="s">
        <v>6</v>
      </c>
      <c r="B34" s="1206" t="s">
        <v>365</v>
      </c>
      <c r="C34" s="1206"/>
      <c r="D34" s="1207"/>
      <c r="E34" s="1208">
        <f>E35</f>
        <v>97099847140</v>
      </c>
      <c r="F34" s="1208">
        <f t="shared" ref="F34:Y35" si="19">F35</f>
        <v>50912986775</v>
      </c>
      <c r="G34" s="1208">
        <f t="shared" si="19"/>
        <v>126916716</v>
      </c>
      <c r="H34" s="1208">
        <f t="shared" si="19"/>
        <v>79530000</v>
      </c>
      <c r="I34" s="1208">
        <f t="shared" si="19"/>
        <v>47386716</v>
      </c>
      <c r="J34" s="1208">
        <f t="shared" si="19"/>
        <v>0</v>
      </c>
      <c r="K34" s="1208">
        <f t="shared" si="19"/>
        <v>0</v>
      </c>
      <c r="L34" s="1208">
        <f t="shared" si="19"/>
        <v>0</v>
      </c>
      <c r="M34" s="1208">
        <f t="shared" si="19"/>
        <v>0</v>
      </c>
      <c r="N34" s="1208">
        <f t="shared" si="19"/>
        <v>0</v>
      </c>
      <c r="O34" s="1208">
        <f t="shared" si="19"/>
        <v>0</v>
      </c>
      <c r="P34" s="1208">
        <f t="shared" si="19"/>
        <v>0</v>
      </c>
      <c r="Q34" s="1208">
        <f t="shared" si="19"/>
        <v>0</v>
      </c>
      <c r="R34" s="1208">
        <f t="shared" si="19"/>
        <v>0</v>
      </c>
      <c r="S34" s="1208">
        <f t="shared" si="19"/>
        <v>0</v>
      </c>
      <c r="T34" s="1208">
        <f t="shared" si="19"/>
        <v>0</v>
      </c>
      <c r="U34" s="1208">
        <f t="shared" si="19"/>
        <v>0</v>
      </c>
      <c r="V34" s="1208"/>
      <c r="W34" s="1208">
        <f t="shared" si="19"/>
        <v>47386716</v>
      </c>
      <c r="X34" s="1208">
        <f t="shared" si="19"/>
        <v>0</v>
      </c>
      <c r="Y34" s="1208">
        <f t="shared" si="19"/>
        <v>50833456775</v>
      </c>
    </row>
    <row r="35" spans="1:26" s="350" customFormat="1" ht="32.25" customHeight="1" x14ac:dyDescent="0.25">
      <c r="A35" s="1244"/>
      <c r="B35" s="1245" t="s">
        <v>703</v>
      </c>
      <c r="C35" s="1245"/>
      <c r="D35" s="1226"/>
      <c r="E35" s="1213">
        <f>E36</f>
        <v>97099847140</v>
      </c>
      <c r="F35" s="1213">
        <f t="shared" si="19"/>
        <v>50912986775</v>
      </c>
      <c r="G35" s="1213">
        <f t="shared" si="19"/>
        <v>126916716</v>
      </c>
      <c r="H35" s="1213">
        <f t="shared" si="19"/>
        <v>79530000</v>
      </c>
      <c r="I35" s="1213">
        <f t="shared" si="19"/>
        <v>47386716</v>
      </c>
      <c r="J35" s="1213">
        <f t="shared" si="19"/>
        <v>0</v>
      </c>
      <c r="K35" s="1213">
        <f t="shared" si="19"/>
        <v>0</v>
      </c>
      <c r="L35" s="1213">
        <f t="shared" si="19"/>
        <v>0</v>
      </c>
      <c r="M35" s="1213">
        <f t="shared" si="19"/>
        <v>0</v>
      </c>
      <c r="N35" s="1213">
        <f t="shared" si="19"/>
        <v>0</v>
      </c>
      <c r="O35" s="1213">
        <f t="shared" si="19"/>
        <v>0</v>
      </c>
      <c r="P35" s="1213">
        <f t="shared" si="19"/>
        <v>0</v>
      </c>
      <c r="Q35" s="1213">
        <f t="shared" si="19"/>
        <v>0</v>
      </c>
      <c r="R35" s="1213">
        <f t="shared" si="19"/>
        <v>0</v>
      </c>
      <c r="S35" s="1213">
        <f t="shared" si="19"/>
        <v>0</v>
      </c>
      <c r="T35" s="1213">
        <f t="shared" si="19"/>
        <v>0</v>
      </c>
      <c r="U35" s="1213">
        <f t="shared" si="19"/>
        <v>0</v>
      </c>
      <c r="V35" s="1213"/>
      <c r="W35" s="1213">
        <f t="shared" si="19"/>
        <v>47386716</v>
      </c>
      <c r="X35" s="1213">
        <f t="shared" si="19"/>
        <v>0</v>
      </c>
      <c r="Y35" s="1213">
        <f t="shared" si="19"/>
        <v>50833456775</v>
      </c>
    </row>
    <row r="36" spans="1:26" s="350" customFormat="1" ht="53.25" customHeight="1" x14ac:dyDescent="0.25">
      <c r="A36" s="1214" t="s">
        <v>8</v>
      </c>
      <c r="B36" s="1215" t="s">
        <v>706</v>
      </c>
      <c r="C36" s="1230" t="s">
        <v>694</v>
      </c>
      <c r="D36" s="1227">
        <v>7851058</v>
      </c>
      <c r="E36" s="1219">
        <v>97099847140</v>
      </c>
      <c r="F36" s="1217">
        <v>50912986775</v>
      </c>
      <c r="G36" s="1217">
        <v>126916716</v>
      </c>
      <c r="H36" s="1217">
        <v>79530000</v>
      </c>
      <c r="I36" s="1217">
        <v>47386716</v>
      </c>
      <c r="J36" s="1217"/>
      <c r="K36" s="1218">
        <f t="shared" ref="K36" si="20">L36+M36</f>
        <v>0</v>
      </c>
      <c r="L36" s="1217"/>
      <c r="M36" s="1217"/>
      <c r="N36" s="1217"/>
      <c r="O36" s="1218">
        <f t="shared" ref="O36" si="21">J36-K36-N36</f>
        <v>0</v>
      </c>
      <c r="P36" s="1217"/>
      <c r="Q36" s="1219">
        <f t="shared" ref="Q36" si="22">R36+S36</f>
        <v>0</v>
      </c>
      <c r="R36" s="1217"/>
      <c r="S36" s="1217"/>
      <c r="T36" s="1217"/>
      <c r="U36" s="1217">
        <f t="shared" ref="U36" si="23">P36-Q36-T36</f>
        <v>0</v>
      </c>
      <c r="V36" s="1217"/>
      <c r="W36" s="1217">
        <f>I36+L36+R36</f>
        <v>47386716</v>
      </c>
      <c r="X36" s="1217">
        <f>G36-H36-I36+M36+S36</f>
        <v>0</v>
      </c>
      <c r="Y36" s="563">
        <f>F36-H36+K36+Q36-V36</f>
        <v>50833456775</v>
      </c>
      <c r="Z36" s="1192"/>
    </row>
    <row r="37" spans="1:26" s="350" customFormat="1" ht="20.25" customHeight="1" x14ac:dyDescent="0.25">
      <c r="A37" s="1743" t="s">
        <v>12</v>
      </c>
      <c r="B37" s="1206" t="s">
        <v>439</v>
      </c>
      <c r="C37" s="1206"/>
      <c r="D37" s="1207"/>
      <c r="E37" s="1208">
        <f>E38</f>
        <v>2122265000</v>
      </c>
      <c r="F37" s="1208">
        <f t="shared" ref="F37:Y37" si="24">F38</f>
        <v>376553600</v>
      </c>
      <c r="G37" s="1208">
        <f t="shared" si="24"/>
        <v>376553600</v>
      </c>
      <c r="H37" s="1208">
        <f t="shared" si="24"/>
        <v>0</v>
      </c>
      <c r="I37" s="1208">
        <f t="shared" si="24"/>
        <v>376553600</v>
      </c>
      <c r="J37" s="1208">
        <f t="shared" si="24"/>
        <v>694146400</v>
      </c>
      <c r="K37" s="1208">
        <f t="shared" si="24"/>
        <v>694146400</v>
      </c>
      <c r="L37" s="1208">
        <f t="shared" si="24"/>
        <v>694146400</v>
      </c>
      <c r="M37" s="1208">
        <f t="shared" si="24"/>
        <v>0</v>
      </c>
      <c r="N37" s="1208">
        <f t="shared" si="24"/>
        <v>0</v>
      </c>
      <c r="O37" s="1208">
        <f t="shared" si="24"/>
        <v>0</v>
      </c>
      <c r="P37" s="1208">
        <f t="shared" si="24"/>
        <v>0</v>
      </c>
      <c r="Q37" s="1208">
        <f t="shared" si="24"/>
        <v>0</v>
      </c>
      <c r="R37" s="1208">
        <f t="shared" si="24"/>
        <v>0</v>
      </c>
      <c r="S37" s="1208">
        <f t="shared" si="24"/>
        <v>0</v>
      </c>
      <c r="T37" s="1208">
        <f t="shared" si="24"/>
        <v>0</v>
      </c>
      <c r="U37" s="1208">
        <f t="shared" si="24"/>
        <v>0</v>
      </c>
      <c r="V37" s="1208"/>
      <c r="W37" s="1208">
        <f t="shared" si="24"/>
        <v>1070700000</v>
      </c>
      <c r="X37" s="1208">
        <f t="shared" si="24"/>
        <v>0</v>
      </c>
      <c r="Y37" s="1208">
        <f t="shared" si="24"/>
        <v>1070700000</v>
      </c>
    </row>
    <row r="38" spans="1:26" s="350" customFormat="1" ht="34.5" customHeight="1" x14ac:dyDescent="0.25">
      <c r="A38" s="1228"/>
      <c r="B38" s="1163" t="s">
        <v>703</v>
      </c>
      <c r="C38" s="1229"/>
      <c r="D38" s="1227"/>
      <c r="E38" s="1166">
        <f>SUM(E39:E40)</f>
        <v>2122265000</v>
      </c>
      <c r="F38" s="1166">
        <f t="shared" ref="F38:Y38" si="25">SUM(F39:F40)</f>
        <v>376553600</v>
      </c>
      <c r="G38" s="1166">
        <f t="shared" si="25"/>
        <v>376553600</v>
      </c>
      <c r="H38" s="1166">
        <f t="shared" si="25"/>
        <v>0</v>
      </c>
      <c r="I38" s="1166">
        <f t="shared" si="25"/>
        <v>376553600</v>
      </c>
      <c r="J38" s="1166">
        <f t="shared" si="25"/>
        <v>694146400</v>
      </c>
      <c r="K38" s="1166">
        <f t="shared" si="25"/>
        <v>694146400</v>
      </c>
      <c r="L38" s="1166">
        <f t="shared" si="25"/>
        <v>694146400</v>
      </c>
      <c r="M38" s="1166">
        <f t="shared" si="25"/>
        <v>0</v>
      </c>
      <c r="N38" s="1166">
        <f t="shared" si="25"/>
        <v>0</v>
      </c>
      <c r="O38" s="1166">
        <f t="shared" si="25"/>
        <v>0</v>
      </c>
      <c r="P38" s="1166">
        <f t="shared" si="25"/>
        <v>0</v>
      </c>
      <c r="Q38" s="1166">
        <f t="shared" si="25"/>
        <v>0</v>
      </c>
      <c r="R38" s="1166">
        <f t="shared" si="25"/>
        <v>0</v>
      </c>
      <c r="S38" s="1166">
        <f t="shared" si="25"/>
        <v>0</v>
      </c>
      <c r="T38" s="1166">
        <f t="shared" si="25"/>
        <v>0</v>
      </c>
      <c r="U38" s="1166">
        <f t="shared" si="25"/>
        <v>0</v>
      </c>
      <c r="V38" s="1166">
        <f t="shared" si="25"/>
        <v>0</v>
      </c>
      <c r="W38" s="1166">
        <f t="shared" si="25"/>
        <v>1070700000</v>
      </c>
      <c r="X38" s="1166">
        <f t="shared" si="25"/>
        <v>0</v>
      </c>
      <c r="Y38" s="1166">
        <f t="shared" si="25"/>
        <v>1070700000</v>
      </c>
    </row>
    <row r="39" spans="1:26" s="350" customFormat="1" ht="60.75" customHeight="1" x14ac:dyDescent="0.25">
      <c r="A39" s="1233" t="s">
        <v>40</v>
      </c>
      <c r="B39" s="1246" t="s">
        <v>445</v>
      </c>
      <c r="C39" s="1235" t="s">
        <v>694</v>
      </c>
      <c r="D39" s="1236">
        <v>8090518</v>
      </c>
      <c r="E39" s="1241">
        <v>1019732500</v>
      </c>
      <c r="F39" s="1241">
        <v>85553600</v>
      </c>
      <c r="G39" s="1241">
        <v>85553600</v>
      </c>
      <c r="H39" s="1241"/>
      <c r="I39" s="1241">
        <v>85553600</v>
      </c>
      <c r="J39" s="1239">
        <v>536646400</v>
      </c>
      <c r="K39" s="1239">
        <f t="shared" ref="K39" si="26">L39+M39</f>
        <v>536646400</v>
      </c>
      <c r="L39" s="1239">
        <v>536646400</v>
      </c>
      <c r="M39" s="1239"/>
      <c r="N39" s="1239"/>
      <c r="O39" s="1239">
        <f>J39-K39-N39</f>
        <v>0</v>
      </c>
      <c r="P39" s="1241"/>
      <c r="Q39" s="1240">
        <f t="shared" ref="Q39" si="27">R39+S39</f>
        <v>0</v>
      </c>
      <c r="R39" s="1241"/>
      <c r="S39" s="1241"/>
      <c r="T39" s="1241"/>
      <c r="U39" s="1241">
        <f t="shared" ref="U39:U44" si="28">P39-Q39-T39</f>
        <v>0</v>
      </c>
      <c r="V39" s="1241"/>
      <c r="W39" s="1241">
        <f>I39+L39+R39</f>
        <v>622200000</v>
      </c>
      <c r="X39" s="1241">
        <f>G39-H39-I39+M39+S39</f>
        <v>0</v>
      </c>
      <c r="Y39" s="1238">
        <f>F39-H39+K39+Q39-V39</f>
        <v>622200000</v>
      </c>
    </row>
    <row r="40" spans="1:26" s="569" customFormat="1" ht="52.5" customHeight="1" x14ac:dyDescent="0.2">
      <c r="A40" s="1214" t="s">
        <v>593</v>
      </c>
      <c r="B40" s="1231" t="s">
        <v>440</v>
      </c>
      <c r="C40" s="1230" t="s">
        <v>694</v>
      </c>
      <c r="D40" s="1227">
        <v>8088020</v>
      </c>
      <c r="E40" s="1232">
        <v>1102532500</v>
      </c>
      <c r="F40" s="563">
        <v>291000000</v>
      </c>
      <c r="G40" s="563">
        <v>291000000</v>
      </c>
      <c r="H40" s="563"/>
      <c r="I40" s="563">
        <v>291000000</v>
      </c>
      <c r="J40" s="563">
        <v>157500000</v>
      </c>
      <c r="K40" s="1218">
        <f>L40+M40</f>
        <v>157500000</v>
      </c>
      <c r="L40" s="563">
        <v>157500000</v>
      </c>
      <c r="M40" s="563"/>
      <c r="N40" s="563"/>
      <c r="O40" s="1218">
        <f>J40-K40-N40</f>
        <v>0</v>
      </c>
      <c r="P40" s="1232"/>
      <c r="Q40" s="1219">
        <f>R40+S40</f>
        <v>0</v>
      </c>
      <c r="R40" s="563"/>
      <c r="S40" s="563"/>
      <c r="T40" s="563"/>
      <c r="U40" s="1217">
        <f>P40-Q40-T40</f>
        <v>0</v>
      </c>
      <c r="V40" s="1217"/>
      <c r="W40" s="1217">
        <f>I40+L40+R40</f>
        <v>448500000</v>
      </c>
      <c r="X40" s="1217">
        <f>G40-H40-I40+M40+S40</f>
        <v>0</v>
      </c>
      <c r="Y40" s="563">
        <f>F40-H40+K40+Q40-V40</f>
        <v>448500000</v>
      </c>
    </row>
    <row r="41" spans="1:26" s="350" customFormat="1" ht="24" customHeight="1" x14ac:dyDescent="0.25">
      <c r="A41" s="1247" t="s">
        <v>42</v>
      </c>
      <c r="B41" s="1248" t="s">
        <v>446</v>
      </c>
      <c r="C41" s="1249"/>
      <c r="D41" s="1134"/>
      <c r="E41" s="1208">
        <f>E42+E45</f>
        <v>738000000</v>
      </c>
      <c r="F41" s="1208">
        <f t="shared" ref="F41:Y41" si="29">F42+F45</f>
        <v>295000000</v>
      </c>
      <c r="G41" s="1208">
        <f t="shared" si="29"/>
        <v>0</v>
      </c>
      <c r="H41" s="1208">
        <f t="shared" si="29"/>
        <v>0</v>
      </c>
      <c r="I41" s="1208">
        <f t="shared" si="29"/>
        <v>0</v>
      </c>
      <c r="J41" s="1208">
        <f t="shared" si="29"/>
        <v>74000000</v>
      </c>
      <c r="K41" s="1208">
        <f t="shared" si="29"/>
        <v>60964895</v>
      </c>
      <c r="L41" s="1208">
        <f t="shared" si="29"/>
        <v>60964895</v>
      </c>
      <c r="M41" s="1208">
        <f t="shared" si="29"/>
        <v>0</v>
      </c>
      <c r="N41" s="1208">
        <f t="shared" si="29"/>
        <v>0</v>
      </c>
      <c r="O41" s="1208">
        <f t="shared" si="29"/>
        <v>13035105</v>
      </c>
      <c r="P41" s="1208">
        <f t="shared" si="29"/>
        <v>0</v>
      </c>
      <c r="Q41" s="1208">
        <f t="shared" si="29"/>
        <v>0</v>
      </c>
      <c r="R41" s="1208">
        <f t="shared" si="29"/>
        <v>0</v>
      </c>
      <c r="S41" s="1208">
        <f t="shared" si="29"/>
        <v>0</v>
      </c>
      <c r="T41" s="1208">
        <f t="shared" si="29"/>
        <v>0</v>
      </c>
      <c r="U41" s="1208">
        <f t="shared" si="29"/>
        <v>0</v>
      </c>
      <c r="V41" s="1208"/>
      <c r="W41" s="1208">
        <f t="shared" si="29"/>
        <v>60964895</v>
      </c>
      <c r="X41" s="1208">
        <f t="shared" si="29"/>
        <v>0</v>
      </c>
      <c r="Y41" s="1208">
        <f t="shared" si="29"/>
        <v>355964895</v>
      </c>
    </row>
    <row r="42" spans="1:26" s="350" customFormat="1" ht="19.5" customHeight="1" x14ac:dyDescent="0.25">
      <c r="A42" s="1250">
        <v>1</v>
      </c>
      <c r="B42" s="1251" t="s">
        <v>707</v>
      </c>
      <c r="C42" s="1249"/>
      <c r="D42" s="1134"/>
      <c r="E42" s="1208">
        <f>E43</f>
        <v>369000000</v>
      </c>
      <c r="F42" s="1208">
        <f t="shared" ref="F42:Y43" si="30">F43</f>
        <v>295000000</v>
      </c>
      <c r="G42" s="1208">
        <f t="shared" si="30"/>
        <v>0</v>
      </c>
      <c r="H42" s="1208">
        <f t="shared" si="30"/>
        <v>0</v>
      </c>
      <c r="I42" s="1208">
        <f t="shared" si="30"/>
        <v>0</v>
      </c>
      <c r="J42" s="1208">
        <f t="shared" si="30"/>
        <v>54000000</v>
      </c>
      <c r="K42" s="1208">
        <f t="shared" si="30"/>
        <v>54000000</v>
      </c>
      <c r="L42" s="1208">
        <f t="shared" si="30"/>
        <v>54000000</v>
      </c>
      <c r="M42" s="1208">
        <f t="shared" si="30"/>
        <v>0</v>
      </c>
      <c r="N42" s="1208">
        <f t="shared" si="30"/>
        <v>0</v>
      </c>
      <c r="O42" s="1208">
        <f t="shared" si="30"/>
        <v>0</v>
      </c>
      <c r="P42" s="1208">
        <f t="shared" si="30"/>
        <v>0</v>
      </c>
      <c r="Q42" s="1208">
        <f t="shared" si="30"/>
        <v>0</v>
      </c>
      <c r="R42" s="1208">
        <f t="shared" si="30"/>
        <v>0</v>
      </c>
      <c r="S42" s="1208">
        <f t="shared" si="30"/>
        <v>0</v>
      </c>
      <c r="T42" s="1208">
        <f t="shared" si="30"/>
        <v>0</v>
      </c>
      <c r="U42" s="1208">
        <f t="shared" si="30"/>
        <v>0</v>
      </c>
      <c r="V42" s="1208"/>
      <c r="W42" s="1208">
        <f t="shared" si="30"/>
        <v>54000000</v>
      </c>
      <c r="X42" s="1208">
        <f t="shared" si="30"/>
        <v>0</v>
      </c>
      <c r="Y42" s="1208">
        <f t="shared" si="30"/>
        <v>349000000</v>
      </c>
    </row>
    <row r="43" spans="1:26" s="350" customFormat="1" ht="28.5" customHeight="1" x14ac:dyDescent="0.25">
      <c r="A43" s="1252"/>
      <c r="B43" s="1253" t="s">
        <v>708</v>
      </c>
      <c r="C43" s="1254"/>
      <c r="D43" s="1255"/>
      <c r="E43" s="1213">
        <f>E44</f>
        <v>369000000</v>
      </c>
      <c r="F43" s="1213">
        <f t="shared" si="30"/>
        <v>295000000</v>
      </c>
      <c r="G43" s="1213">
        <f t="shared" si="30"/>
        <v>0</v>
      </c>
      <c r="H43" s="1213">
        <f t="shared" si="30"/>
        <v>0</v>
      </c>
      <c r="I43" s="1213">
        <f t="shared" si="30"/>
        <v>0</v>
      </c>
      <c r="J43" s="1213">
        <f t="shared" si="30"/>
        <v>54000000</v>
      </c>
      <c r="K43" s="1213">
        <f t="shared" si="30"/>
        <v>54000000</v>
      </c>
      <c r="L43" s="1213">
        <f t="shared" si="30"/>
        <v>54000000</v>
      </c>
      <c r="M43" s="1213">
        <f t="shared" si="30"/>
        <v>0</v>
      </c>
      <c r="N43" s="1213">
        <f t="shared" si="30"/>
        <v>0</v>
      </c>
      <c r="O43" s="1213">
        <f t="shared" si="30"/>
        <v>0</v>
      </c>
      <c r="P43" s="1213">
        <f t="shared" si="30"/>
        <v>0</v>
      </c>
      <c r="Q43" s="1213">
        <f t="shared" si="30"/>
        <v>0</v>
      </c>
      <c r="R43" s="1213">
        <f t="shared" si="30"/>
        <v>0</v>
      </c>
      <c r="S43" s="1213">
        <f t="shared" si="30"/>
        <v>0</v>
      </c>
      <c r="T43" s="1213">
        <f t="shared" si="30"/>
        <v>0</v>
      </c>
      <c r="U43" s="1213">
        <f t="shared" si="30"/>
        <v>0</v>
      </c>
      <c r="V43" s="1213"/>
      <c r="W43" s="1213">
        <f t="shared" si="30"/>
        <v>54000000</v>
      </c>
      <c r="X43" s="1213">
        <f t="shared" si="30"/>
        <v>0</v>
      </c>
      <c r="Y43" s="1213">
        <f t="shared" si="30"/>
        <v>349000000</v>
      </c>
    </row>
    <row r="44" spans="1:26" s="350" customFormat="1" ht="45.75" customHeight="1" x14ac:dyDescent="0.25">
      <c r="A44" s="1256" t="s">
        <v>32</v>
      </c>
      <c r="B44" s="1257" t="s">
        <v>449</v>
      </c>
      <c r="C44" s="1235" t="s">
        <v>694</v>
      </c>
      <c r="D44" s="1236">
        <v>8119849</v>
      </c>
      <c r="E44" s="1241">
        <v>369000000</v>
      </c>
      <c r="F44" s="1241">
        <v>295000000</v>
      </c>
      <c r="G44" s="1241"/>
      <c r="H44" s="1241"/>
      <c r="I44" s="1241"/>
      <c r="J44" s="1239">
        <v>54000000</v>
      </c>
      <c r="K44" s="1239">
        <f t="shared" ref="K44:K47" si="31">L44+M44</f>
        <v>54000000</v>
      </c>
      <c r="L44" s="1239">
        <v>54000000</v>
      </c>
      <c r="M44" s="1239"/>
      <c r="N44" s="1239"/>
      <c r="O44" s="1239">
        <f>J44-K44-N44</f>
        <v>0</v>
      </c>
      <c r="P44" s="1241"/>
      <c r="Q44" s="1241"/>
      <c r="R44" s="1241"/>
      <c r="S44" s="1241"/>
      <c r="T44" s="1241"/>
      <c r="U44" s="1241">
        <f t="shared" si="28"/>
        <v>0</v>
      </c>
      <c r="V44" s="1241"/>
      <c r="W44" s="1241">
        <f>I44+L44+R44</f>
        <v>54000000</v>
      </c>
      <c r="X44" s="1241">
        <f>G44-H44-I44+M44+S44</f>
        <v>0</v>
      </c>
      <c r="Y44" s="1238">
        <f>F44-H44+K44+Q44-V44</f>
        <v>349000000</v>
      </c>
    </row>
    <row r="45" spans="1:26" s="350" customFormat="1" ht="33.75" customHeight="1" x14ac:dyDescent="0.25">
      <c r="A45" s="706">
        <v>2</v>
      </c>
      <c r="B45" s="1258" t="s">
        <v>709</v>
      </c>
      <c r="C45" s="1249"/>
      <c r="D45" s="1134"/>
      <c r="E45" s="1208">
        <f>E46</f>
        <v>369000000</v>
      </c>
      <c r="F45" s="1208">
        <f t="shared" ref="F45:X46" si="32">F46</f>
        <v>0</v>
      </c>
      <c r="G45" s="1208">
        <f t="shared" si="32"/>
        <v>0</v>
      </c>
      <c r="H45" s="1208">
        <f t="shared" si="32"/>
        <v>0</v>
      </c>
      <c r="I45" s="1208">
        <f t="shared" si="32"/>
        <v>0</v>
      </c>
      <c r="J45" s="1208">
        <f t="shared" si="32"/>
        <v>20000000</v>
      </c>
      <c r="K45" s="1208">
        <f t="shared" si="32"/>
        <v>6964895</v>
      </c>
      <c r="L45" s="1208">
        <f t="shared" si="32"/>
        <v>6964895</v>
      </c>
      <c r="M45" s="1208">
        <f t="shared" si="32"/>
        <v>0</v>
      </c>
      <c r="N45" s="1208">
        <f t="shared" si="32"/>
        <v>0</v>
      </c>
      <c r="O45" s="1208">
        <f t="shared" si="32"/>
        <v>13035105</v>
      </c>
      <c r="P45" s="1208">
        <f t="shared" si="32"/>
        <v>0</v>
      </c>
      <c r="Q45" s="1208">
        <f t="shared" si="32"/>
        <v>0</v>
      </c>
      <c r="R45" s="1208">
        <f t="shared" si="32"/>
        <v>0</v>
      </c>
      <c r="S45" s="1208">
        <f t="shared" si="32"/>
        <v>0</v>
      </c>
      <c r="T45" s="1208">
        <f t="shared" si="32"/>
        <v>0</v>
      </c>
      <c r="U45" s="1208">
        <f t="shared" si="32"/>
        <v>0</v>
      </c>
      <c r="V45" s="1208"/>
      <c r="W45" s="1208">
        <f t="shared" si="32"/>
        <v>6964895</v>
      </c>
      <c r="X45" s="1208">
        <f t="shared" si="32"/>
        <v>0</v>
      </c>
      <c r="Y45" s="1208">
        <f>Y46</f>
        <v>6964895</v>
      </c>
    </row>
    <row r="46" spans="1:26" s="350" customFormat="1" ht="30" customHeight="1" x14ac:dyDescent="0.25">
      <c r="A46" s="1252"/>
      <c r="B46" s="1253" t="s">
        <v>708</v>
      </c>
      <c r="C46" s="1259"/>
      <c r="D46" s="1255"/>
      <c r="E46" s="1213">
        <f>E47</f>
        <v>369000000</v>
      </c>
      <c r="F46" s="1213">
        <f t="shared" si="32"/>
        <v>0</v>
      </c>
      <c r="G46" s="1213">
        <f t="shared" si="32"/>
        <v>0</v>
      </c>
      <c r="H46" s="1213">
        <f t="shared" si="32"/>
        <v>0</v>
      </c>
      <c r="I46" s="1213">
        <f t="shared" si="32"/>
        <v>0</v>
      </c>
      <c r="J46" s="1213">
        <f t="shared" si="32"/>
        <v>20000000</v>
      </c>
      <c r="K46" s="1213">
        <f t="shared" si="32"/>
        <v>6964895</v>
      </c>
      <c r="L46" s="1213">
        <f t="shared" si="32"/>
        <v>6964895</v>
      </c>
      <c r="M46" s="1213">
        <f t="shared" si="32"/>
        <v>0</v>
      </c>
      <c r="N46" s="1213">
        <f t="shared" si="32"/>
        <v>0</v>
      </c>
      <c r="O46" s="1213">
        <f t="shared" si="32"/>
        <v>13035105</v>
      </c>
      <c r="P46" s="1213">
        <f t="shared" si="32"/>
        <v>0</v>
      </c>
      <c r="Q46" s="1213">
        <f t="shared" si="32"/>
        <v>0</v>
      </c>
      <c r="R46" s="1213">
        <f t="shared" si="32"/>
        <v>0</v>
      </c>
      <c r="S46" s="1213">
        <f t="shared" si="32"/>
        <v>0</v>
      </c>
      <c r="T46" s="1213">
        <f t="shared" si="32"/>
        <v>0</v>
      </c>
      <c r="U46" s="1213">
        <f t="shared" si="32"/>
        <v>0</v>
      </c>
      <c r="V46" s="1213"/>
      <c r="W46" s="1213">
        <f t="shared" si="32"/>
        <v>6964895</v>
      </c>
      <c r="X46" s="1213">
        <f t="shared" si="32"/>
        <v>0</v>
      </c>
      <c r="Y46" s="1213">
        <f t="shared" ref="Y46" si="33">Y47</f>
        <v>6964895</v>
      </c>
    </row>
    <row r="47" spans="1:26" s="350" customFormat="1" ht="51" customHeight="1" x14ac:dyDescent="0.25">
      <c r="A47" s="1260" t="s">
        <v>32</v>
      </c>
      <c r="B47" s="1261" t="s">
        <v>449</v>
      </c>
      <c r="C47" s="1262" t="s">
        <v>694</v>
      </c>
      <c r="D47" s="1223">
        <v>8119849</v>
      </c>
      <c r="E47" s="1172">
        <v>369000000</v>
      </c>
      <c r="F47" s="1172"/>
      <c r="G47" s="1172"/>
      <c r="H47" s="1172"/>
      <c r="I47" s="1172"/>
      <c r="J47" s="1263">
        <v>20000000</v>
      </c>
      <c r="K47" s="1263">
        <f t="shared" si="31"/>
        <v>6964895</v>
      </c>
      <c r="L47" s="1263">
        <v>6964895</v>
      </c>
      <c r="M47" s="1263"/>
      <c r="N47" s="1263"/>
      <c r="O47" s="1263">
        <f t="shared" ref="O47" si="34">J47-K47-N47</f>
        <v>13035105</v>
      </c>
      <c r="P47" s="1172"/>
      <c r="Q47" s="1172"/>
      <c r="R47" s="1172"/>
      <c r="S47" s="1172"/>
      <c r="T47" s="1172"/>
      <c r="U47" s="1172">
        <f>P47-Q47-T47</f>
        <v>0</v>
      </c>
      <c r="V47" s="1172"/>
      <c r="W47" s="1172">
        <f>I47+L47+R47</f>
        <v>6964895</v>
      </c>
      <c r="X47" s="1172">
        <f>G47-H47-I47+M47+S47</f>
        <v>0</v>
      </c>
      <c r="Y47" s="566">
        <f>F47-H47+K47+Q47-V47</f>
        <v>6964895</v>
      </c>
    </row>
    <row r="48" spans="1:26" s="350" customFormat="1" ht="19.5" customHeight="1" x14ac:dyDescent="0.25">
      <c r="A48" s="1264"/>
      <c r="B48" s="1265"/>
      <c r="C48" s="1266"/>
      <c r="D48" s="1267"/>
      <c r="E48" s="1268"/>
      <c r="F48" s="1268"/>
      <c r="G48" s="1268"/>
      <c r="H48" s="1268"/>
      <c r="I48" s="1268"/>
      <c r="J48" s="1269"/>
      <c r="K48" s="1269"/>
      <c r="L48" s="1269"/>
      <c r="M48" s="1269"/>
      <c r="N48" s="1269"/>
      <c r="O48" s="1269"/>
      <c r="P48" s="1268"/>
      <c r="Q48" s="1268"/>
      <c r="R48" s="1268"/>
      <c r="S48" s="1268"/>
      <c r="T48" s="1268"/>
      <c r="U48" s="1268"/>
      <c r="V48" s="1268"/>
      <c r="W48" s="1268"/>
      <c r="X48" s="1268"/>
      <c r="Y48" s="1270"/>
    </row>
    <row r="49" spans="2:26" s="1272" customFormat="1" ht="16.5" hidden="1" customHeight="1" x14ac:dyDescent="0.3">
      <c r="B49" s="1955"/>
      <c r="C49" s="1955"/>
      <c r="D49" s="1955"/>
      <c r="E49" s="1955"/>
      <c r="F49" s="1955"/>
      <c r="G49" s="1955"/>
      <c r="H49" s="1955"/>
      <c r="I49" s="1271"/>
      <c r="J49" s="1271"/>
      <c r="K49" s="1271"/>
      <c r="L49" s="1271"/>
      <c r="M49" s="1271"/>
      <c r="N49" s="1271"/>
      <c r="O49" s="1271"/>
      <c r="P49" s="1956" t="s">
        <v>653</v>
      </c>
      <c r="Q49" s="1956"/>
      <c r="R49" s="1956"/>
      <c r="S49" s="1956"/>
      <c r="T49" s="1956"/>
      <c r="U49" s="1956"/>
      <c r="V49" s="1956"/>
      <c r="W49" s="1956"/>
      <c r="X49" s="1956"/>
      <c r="Y49" s="1956"/>
      <c r="Z49" s="1271"/>
    </row>
    <row r="50" spans="2:26" s="1272" customFormat="1" ht="23.25" hidden="1" customHeight="1" x14ac:dyDescent="0.3">
      <c r="B50" s="1959" t="s">
        <v>1024</v>
      </c>
      <c r="C50" s="1959"/>
      <c r="D50" s="1959"/>
      <c r="E50" s="1959"/>
      <c r="F50" s="1959"/>
      <c r="G50" s="1959"/>
      <c r="H50" s="1959"/>
      <c r="I50" s="1273"/>
      <c r="J50" s="1273"/>
      <c r="K50" s="1273"/>
      <c r="L50" s="1273"/>
      <c r="M50" s="1273"/>
      <c r="N50" s="1273"/>
      <c r="O50" s="1273"/>
      <c r="P50" s="1960" t="s">
        <v>710</v>
      </c>
      <c r="Q50" s="1960"/>
      <c r="R50" s="1960"/>
      <c r="S50" s="1960"/>
      <c r="T50" s="1960"/>
      <c r="U50" s="1960"/>
      <c r="V50" s="1960"/>
      <c r="W50" s="1960"/>
      <c r="X50" s="1960"/>
      <c r="Y50" s="1960"/>
      <c r="Z50" s="1273"/>
    </row>
    <row r="51" spans="2:26" s="1272" customFormat="1" ht="16.5" hidden="1" customHeight="1" x14ac:dyDescent="0.3">
      <c r="B51" s="1745"/>
      <c r="C51" s="1745"/>
      <c r="D51" s="1274"/>
      <c r="F51" s="1178"/>
      <c r="G51" s="1178"/>
      <c r="H51" s="1275"/>
      <c r="I51" s="1178"/>
      <c r="J51" s="1178"/>
      <c r="K51" s="1178"/>
      <c r="L51" s="1178"/>
      <c r="M51" s="1178"/>
      <c r="N51" s="1178"/>
      <c r="O51" s="1178"/>
      <c r="P51" s="1958" t="s">
        <v>271</v>
      </c>
      <c r="Q51" s="1958"/>
      <c r="R51" s="1958"/>
      <c r="S51" s="1958"/>
      <c r="T51" s="1958"/>
      <c r="U51" s="1958"/>
      <c r="V51" s="1958"/>
      <c r="W51" s="1958"/>
      <c r="X51" s="1958"/>
      <c r="Y51" s="1958"/>
      <c r="Z51" s="1178"/>
    </row>
    <row r="52" spans="2:26" s="1272" customFormat="1" ht="73.5" hidden="1" customHeight="1" x14ac:dyDescent="0.3">
      <c r="B52" s="1180"/>
      <c r="C52" s="1180"/>
      <c r="F52" s="1178"/>
      <c r="G52" s="1178"/>
      <c r="H52" s="1178"/>
      <c r="I52" s="1178"/>
      <c r="J52" s="1178"/>
      <c r="K52" s="1178"/>
      <c r="L52" s="1178"/>
      <c r="M52" s="1178"/>
      <c r="P52" s="1958"/>
      <c r="Q52" s="1958"/>
      <c r="R52" s="1958"/>
      <c r="S52" s="1958"/>
      <c r="T52" s="1958"/>
      <c r="U52" s="1958"/>
      <c r="V52" s="1958"/>
      <c r="W52" s="1958"/>
      <c r="X52" s="1958"/>
    </row>
    <row r="53" spans="2:26" s="1272" customFormat="1" ht="27.75" hidden="1" customHeight="1" x14ac:dyDescent="0.3">
      <c r="B53" s="1180"/>
      <c r="C53" s="1180"/>
      <c r="F53" s="1744"/>
      <c r="G53" s="1744"/>
      <c r="H53" s="1744"/>
      <c r="I53" s="1744"/>
      <c r="J53" s="1744"/>
      <c r="K53" s="1744"/>
      <c r="L53" s="1744"/>
      <c r="M53" s="1744"/>
      <c r="P53" s="1744"/>
      <c r="Q53" s="1744"/>
      <c r="R53" s="1744"/>
      <c r="S53" s="1744"/>
      <c r="T53" s="1744"/>
      <c r="U53" s="1744"/>
      <c r="V53" s="1744"/>
      <c r="W53" s="1744"/>
      <c r="X53" s="1744"/>
    </row>
    <row r="54" spans="2:26" s="1272" customFormat="1" ht="20.25" hidden="1" x14ac:dyDescent="0.3">
      <c r="B54" s="1180"/>
      <c r="C54" s="1180"/>
      <c r="F54" s="1180"/>
      <c r="P54" s="1180"/>
    </row>
    <row r="55" spans="2:26" s="1272" customFormat="1" ht="20.25" hidden="1" x14ac:dyDescent="0.3">
      <c r="B55" s="1958"/>
      <c r="C55" s="1958"/>
      <c r="D55" s="1958"/>
      <c r="E55" s="1958"/>
      <c r="F55" s="1958"/>
      <c r="G55" s="1958"/>
      <c r="H55" s="1958"/>
      <c r="I55" s="1178"/>
      <c r="J55" s="1178"/>
      <c r="K55" s="1178"/>
      <c r="L55" s="1178"/>
      <c r="M55" s="1178"/>
      <c r="N55" s="1178"/>
      <c r="O55" s="1178"/>
      <c r="P55" s="1958" t="s">
        <v>459</v>
      </c>
      <c r="Q55" s="1958"/>
      <c r="R55" s="1958"/>
      <c r="S55" s="1958"/>
      <c r="T55" s="1958"/>
      <c r="U55" s="1958"/>
      <c r="V55" s="1958"/>
      <c r="W55" s="1958"/>
      <c r="X55" s="1958"/>
      <c r="Y55" s="1958"/>
      <c r="Z55" s="1178"/>
    </row>
    <row r="56" spans="2:26" s="1278" customFormat="1" ht="18.75" hidden="1" x14ac:dyDescent="0.3">
      <c r="B56" s="1276"/>
      <c r="C56" s="1276"/>
      <c r="D56" s="1276"/>
      <c r="E56" s="1276"/>
      <c r="F56" s="1276"/>
      <c r="G56" s="1276"/>
      <c r="H56" s="1276"/>
      <c r="I56" s="1277"/>
      <c r="J56" s="1277"/>
      <c r="K56" s="1277"/>
      <c r="L56" s="1277"/>
      <c r="M56" s="1277"/>
      <c r="N56" s="1277"/>
      <c r="O56" s="1277"/>
      <c r="P56" s="1276"/>
      <c r="Q56" s="1276"/>
      <c r="R56" s="1276"/>
      <c r="S56" s="1276"/>
      <c r="T56" s="1276"/>
      <c r="U56" s="1276"/>
      <c r="V56" s="1276"/>
      <c r="W56" s="1276"/>
      <c r="X56" s="1276"/>
      <c r="Y56" s="1276"/>
      <c r="Z56" s="1277"/>
    </row>
    <row r="57" spans="2:26" s="1278" customFormat="1" ht="20.25" hidden="1" x14ac:dyDescent="0.3">
      <c r="B57" s="1276"/>
      <c r="C57" s="1276"/>
      <c r="D57" s="1276"/>
      <c r="E57" s="1276"/>
      <c r="F57" s="1276"/>
      <c r="G57" s="1276"/>
      <c r="H57" s="1276"/>
      <c r="I57" s="1277"/>
      <c r="J57" s="1277"/>
      <c r="K57" s="1277"/>
      <c r="L57" s="1277"/>
      <c r="M57" s="1277"/>
      <c r="N57" s="1277"/>
      <c r="O57" s="1277"/>
      <c r="P57" s="1279"/>
      <c r="Q57" s="1279"/>
      <c r="R57" s="1279"/>
      <c r="S57" s="1279"/>
      <c r="T57" s="1279"/>
      <c r="U57" s="1279"/>
      <c r="V57" s="1279"/>
      <c r="W57" s="1279"/>
      <c r="X57" s="1279"/>
      <c r="Y57" s="1279"/>
      <c r="Z57" s="1277"/>
    </row>
    <row r="58" spans="2:26" s="1278" customFormat="1" ht="20.25" hidden="1" x14ac:dyDescent="0.3">
      <c r="B58" s="1276"/>
      <c r="C58" s="1276"/>
      <c r="D58" s="1276"/>
      <c r="E58" s="1276"/>
      <c r="F58" s="1276"/>
      <c r="G58" s="1276"/>
      <c r="H58" s="1276"/>
      <c r="I58" s="1277"/>
      <c r="J58" s="1277"/>
      <c r="K58" s="1277"/>
      <c r="L58" s="1277"/>
      <c r="M58" s="1277"/>
      <c r="N58" s="1277"/>
      <c r="O58" s="1277"/>
      <c r="P58" s="1279"/>
      <c r="Q58" s="1279"/>
      <c r="R58" s="1279"/>
      <c r="S58" s="1279"/>
      <c r="T58" s="1279"/>
      <c r="U58" s="1279"/>
      <c r="V58" s="1279"/>
      <c r="W58" s="1279"/>
      <c r="X58" s="1279"/>
      <c r="Y58" s="1279"/>
      <c r="Z58" s="1277"/>
    </row>
    <row r="59" spans="2:26" s="1278" customFormat="1" ht="20.25" x14ac:dyDescent="0.3">
      <c r="B59" s="1276"/>
      <c r="C59" s="1276"/>
      <c r="D59" s="1276"/>
      <c r="E59" s="1276"/>
      <c r="F59" s="1276"/>
      <c r="G59" s="1276"/>
      <c r="H59" s="1276"/>
      <c r="I59" s="1277"/>
      <c r="J59" s="1277"/>
      <c r="K59" s="1277"/>
      <c r="L59" s="1277"/>
      <c r="M59" s="1277"/>
      <c r="N59" s="1277"/>
      <c r="O59" s="1277"/>
      <c r="P59" s="1279"/>
      <c r="Q59" s="1279"/>
      <c r="R59" s="1279"/>
      <c r="S59" s="1279"/>
      <c r="T59" s="1279"/>
      <c r="U59" s="1279"/>
      <c r="V59" s="1279"/>
      <c r="W59" s="1279"/>
      <c r="X59" s="1279"/>
      <c r="Y59" s="1279"/>
      <c r="Z59" s="1277"/>
    </row>
    <row r="60" spans="2:26" s="1278" customFormat="1" ht="20.25" x14ac:dyDescent="0.3">
      <c r="B60" s="1276"/>
      <c r="C60" s="1276"/>
      <c r="D60" s="1276"/>
      <c r="E60" s="1276"/>
      <c r="F60" s="1276"/>
      <c r="G60" s="1276"/>
      <c r="H60" s="1276"/>
      <c r="I60" s="1277"/>
      <c r="J60" s="1277"/>
      <c r="K60" s="1277"/>
      <c r="L60" s="1277"/>
      <c r="M60" s="1277"/>
      <c r="N60" s="1277"/>
      <c r="O60" s="1277"/>
      <c r="P60" s="1279"/>
      <c r="Q60" s="1279"/>
      <c r="R60" s="1279"/>
      <c r="S60" s="1279"/>
      <c r="T60" s="1279"/>
      <c r="U60" s="1279"/>
      <c r="V60" s="1279"/>
      <c r="W60" s="1279"/>
      <c r="X60" s="1279"/>
      <c r="Y60" s="1279"/>
      <c r="Z60" s="1277"/>
    </row>
    <row r="61" spans="2:26" s="1278" customFormat="1" ht="20.25" x14ac:dyDescent="0.3">
      <c r="B61" s="1276"/>
      <c r="C61" s="1276"/>
      <c r="D61" s="1276"/>
      <c r="E61" s="1276"/>
      <c r="F61" s="1276"/>
      <c r="G61" s="1276"/>
      <c r="H61" s="1276"/>
      <c r="I61" s="1277"/>
      <c r="J61" s="1277"/>
      <c r="K61" s="1277"/>
      <c r="L61" s="1277"/>
      <c r="M61" s="1277"/>
      <c r="N61" s="1277"/>
      <c r="O61" s="1277"/>
      <c r="P61" s="1279"/>
      <c r="Q61" s="1279"/>
      <c r="R61" s="1279"/>
      <c r="S61" s="1279"/>
      <c r="T61" s="1279"/>
      <c r="U61" s="1279"/>
      <c r="V61" s="1279"/>
      <c r="W61" s="1279"/>
      <c r="X61" s="1279"/>
      <c r="Y61" s="1279"/>
      <c r="Z61" s="1277"/>
    </row>
    <row r="62" spans="2:26" s="1278" customFormat="1" ht="20.25" x14ac:dyDescent="0.3">
      <c r="B62" s="1276"/>
      <c r="C62" s="1276"/>
      <c r="D62" s="1276"/>
      <c r="E62" s="1276"/>
      <c r="F62" s="1276"/>
      <c r="G62" s="1276"/>
      <c r="H62" s="1276"/>
      <c r="I62" s="1277"/>
      <c r="J62" s="1277"/>
      <c r="K62" s="1277"/>
      <c r="L62" s="1277"/>
      <c r="M62" s="1277"/>
      <c r="N62" s="1277"/>
      <c r="O62" s="1277"/>
      <c r="P62" s="1279"/>
      <c r="Q62" s="1279"/>
      <c r="R62" s="1279"/>
      <c r="S62" s="1279"/>
      <c r="T62" s="1279"/>
      <c r="U62" s="1279"/>
      <c r="V62" s="1279"/>
      <c r="W62" s="1279"/>
      <c r="X62" s="1279"/>
      <c r="Y62" s="1279"/>
      <c r="Z62" s="1277"/>
    </row>
    <row r="63" spans="2:26" s="1278" customFormat="1" ht="20.25" x14ac:dyDescent="0.3">
      <c r="B63" s="1276"/>
      <c r="C63" s="1276"/>
      <c r="D63" s="1276"/>
      <c r="E63" s="1276"/>
      <c r="F63" s="1276"/>
      <c r="G63" s="1276"/>
      <c r="H63" s="1276"/>
      <c r="I63" s="1277"/>
      <c r="J63" s="1277"/>
      <c r="K63" s="1277"/>
      <c r="L63" s="1277"/>
      <c r="M63" s="1277"/>
      <c r="N63" s="1277"/>
      <c r="O63" s="1277"/>
      <c r="P63" s="1279"/>
      <c r="Q63" s="1279"/>
      <c r="R63" s="1279"/>
      <c r="S63" s="1279"/>
      <c r="T63" s="1279"/>
      <c r="U63" s="1279"/>
      <c r="V63" s="1279"/>
      <c r="W63" s="1279"/>
      <c r="X63" s="1279"/>
      <c r="Y63" s="1279"/>
      <c r="Z63" s="1277"/>
    </row>
    <row r="64" spans="2:26" s="1278" customFormat="1" ht="20.25" x14ac:dyDescent="0.3">
      <c r="B64" s="1276"/>
      <c r="C64" s="1276"/>
      <c r="D64" s="1276"/>
      <c r="E64" s="1276"/>
      <c r="F64" s="1276"/>
      <c r="G64" s="1276"/>
      <c r="H64" s="1276"/>
      <c r="I64" s="1277"/>
      <c r="J64" s="1277"/>
      <c r="K64" s="1277"/>
      <c r="L64" s="1277"/>
      <c r="M64" s="1277"/>
      <c r="N64" s="1277"/>
      <c r="O64" s="1277"/>
      <c r="P64" s="1279"/>
      <c r="Q64" s="1279"/>
      <c r="R64" s="1279"/>
      <c r="S64" s="1279"/>
      <c r="T64" s="1279"/>
      <c r="U64" s="1279"/>
      <c r="V64" s="1279"/>
      <c r="W64" s="1279"/>
      <c r="X64" s="1279"/>
      <c r="Y64" s="1279"/>
      <c r="Z64" s="1277"/>
    </row>
    <row r="65" spans="2:26" s="1278" customFormat="1" ht="20.25" x14ac:dyDescent="0.3">
      <c r="B65" s="1276"/>
      <c r="C65" s="1276"/>
      <c r="D65" s="1276"/>
      <c r="E65" s="1276"/>
      <c r="F65" s="1276"/>
      <c r="G65" s="1276"/>
      <c r="H65" s="1276"/>
      <c r="I65" s="1277"/>
      <c r="J65" s="1277"/>
      <c r="K65" s="1277"/>
      <c r="L65" s="1277"/>
      <c r="M65" s="1277"/>
      <c r="N65" s="1277"/>
      <c r="O65" s="1277"/>
      <c r="P65" s="1279"/>
      <c r="Q65" s="1279"/>
      <c r="R65" s="1279"/>
      <c r="S65" s="1279"/>
      <c r="T65" s="1279"/>
      <c r="U65" s="1279"/>
      <c r="V65" s="1279"/>
      <c r="W65" s="1279"/>
      <c r="X65" s="1279"/>
      <c r="Y65" s="1279"/>
      <c r="Z65" s="1277"/>
    </row>
    <row r="66" spans="2:26" s="1278" customFormat="1" ht="20.25" x14ac:dyDescent="0.3">
      <c r="B66" s="1276"/>
      <c r="C66" s="1276"/>
      <c r="D66" s="1276"/>
      <c r="E66" s="1276"/>
      <c r="F66" s="1276"/>
      <c r="G66" s="1276"/>
      <c r="H66" s="1276"/>
      <c r="I66" s="1277"/>
      <c r="J66" s="1277"/>
      <c r="K66" s="1277"/>
      <c r="L66" s="1277"/>
      <c r="M66" s="1277"/>
      <c r="N66" s="1277"/>
      <c r="O66" s="1277"/>
      <c r="P66" s="1279"/>
      <c r="Q66" s="1279"/>
      <c r="R66" s="1279"/>
      <c r="S66" s="1279"/>
      <c r="T66" s="1279"/>
      <c r="U66" s="1279"/>
      <c r="V66" s="1279"/>
      <c r="W66" s="1279"/>
      <c r="X66" s="1279"/>
      <c r="Y66" s="1279"/>
      <c r="Z66" s="1277"/>
    </row>
    <row r="67" spans="2:26" s="1278" customFormat="1" ht="20.25" x14ac:dyDescent="0.3">
      <c r="B67" s="1276"/>
      <c r="C67" s="1276"/>
      <c r="D67" s="1276"/>
      <c r="E67" s="1276"/>
      <c r="F67" s="1276"/>
      <c r="G67" s="1276"/>
      <c r="H67" s="1276"/>
      <c r="I67" s="1277"/>
      <c r="J67" s="1277"/>
      <c r="K67" s="1277"/>
      <c r="L67" s="1277"/>
      <c r="M67" s="1277"/>
      <c r="N67" s="1277"/>
      <c r="O67" s="1277"/>
      <c r="P67" s="1279"/>
      <c r="Q67" s="1279"/>
      <c r="R67" s="1279"/>
      <c r="S67" s="1279"/>
      <c r="T67" s="1279"/>
      <c r="U67" s="1279"/>
      <c r="V67" s="1279"/>
      <c r="W67" s="1279"/>
      <c r="X67" s="1279"/>
      <c r="Y67" s="1279"/>
      <c r="Z67" s="1277"/>
    </row>
    <row r="68" spans="2:26" s="1278" customFormat="1" ht="20.25" x14ac:dyDescent="0.3">
      <c r="B68" s="1276"/>
      <c r="C68" s="1276"/>
      <c r="D68" s="1276"/>
      <c r="E68" s="1276"/>
      <c r="F68" s="1276"/>
      <c r="G68" s="1276"/>
      <c r="H68" s="1276"/>
      <c r="I68" s="1277"/>
      <c r="J68" s="1277"/>
      <c r="K68" s="1277"/>
      <c r="L68" s="1277"/>
      <c r="M68" s="1277"/>
      <c r="N68" s="1277"/>
      <c r="O68" s="1277"/>
      <c r="P68" s="1279"/>
      <c r="Q68" s="1279"/>
      <c r="R68" s="1279"/>
      <c r="S68" s="1279"/>
      <c r="T68" s="1279"/>
      <c r="U68" s="1279"/>
      <c r="V68" s="1279"/>
      <c r="W68" s="1279"/>
      <c r="X68" s="1279"/>
      <c r="Y68" s="1279"/>
      <c r="Z68" s="1277"/>
    </row>
    <row r="69" spans="2:26" s="1278" customFormat="1" ht="20.25" x14ac:dyDescent="0.3">
      <c r="B69" s="1276"/>
      <c r="C69" s="1276"/>
      <c r="D69" s="1276"/>
      <c r="E69" s="1276"/>
      <c r="F69" s="1276"/>
      <c r="G69" s="1276"/>
      <c r="H69" s="1276"/>
      <c r="I69" s="1277"/>
      <c r="J69" s="1277"/>
      <c r="K69" s="1277"/>
      <c r="L69" s="1277"/>
      <c r="M69" s="1277"/>
      <c r="N69" s="1277"/>
      <c r="O69" s="1277"/>
      <c r="P69" s="1279"/>
      <c r="Q69" s="1279"/>
      <c r="R69" s="1279"/>
      <c r="S69" s="1279"/>
      <c r="T69" s="1279"/>
      <c r="U69" s="1279"/>
      <c r="V69" s="1279"/>
      <c r="W69" s="1279"/>
      <c r="X69" s="1279"/>
      <c r="Y69" s="1279"/>
      <c r="Z69" s="1277"/>
    </row>
    <row r="70" spans="2:26" s="1278" customFormat="1" ht="20.25" x14ac:dyDescent="0.3">
      <c r="B70" s="1276"/>
      <c r="C70" s="1276"/>
      <c r="D70" s="1276"/>
      <c r="E70" s="1276"/>
      <c r="F70" s="1276"/>
      <c r="G70" s="1276"/>
      <c r="H70" s="1276"/>
      <c r="I70" s="1277"/>
      <c r="J70" s="1277"/>
      <c r="K70" s="1277"/>
      <c r="L70" s="1277"/>
      <c r="M70" s="1277"/>
      <c r="N70" s="1277"/>
      <c r="O70" s="1277"/>
      <c r="P70" s="1279"/>
      <c r="Q70" s="1279"/>
      <c r="R70" s="1279"/>
      <c r="S70" s="1279"/>
      <c r="T70" s="1279"/>
      <c r="U70" s="1279"/>
      <c r="V70" s="1279"/>
      <c r="W70" s="1279"/>
      <c r="X70" s="1279"/>
      <c r="Y70" s="1279"/>
      <c r="Z70" s="1277"/>
    </row>
    <row r="71" spans="2:26" s="1278" customFormat="1" ht="20.25" x14ac:dyDescent="0.3">
      <c r="B71" s="1276"/>
      <c r="C71" s="1276"/>
      <c r="D71" s="1276"/>
      <c r="E71" s="1276"/>
      <c r="F71" s="1276"/>
      <c r="G71" s="1276"/>
      <c r="H71" s="1276"/>
      <c r="I71" s="1277"/>
      <c r="J71" s="1277"/>
      <c r="K71" s="1277"/>
      <c r="L71" s="1277"/>
      <c r="M71" s="1277"/>
      <c r="N71" s="1277"/>
      <c r="O71" s="1277"/>
      <c r="P71" s="1279"/>
      <c r="Q71" s="1279"/>
      <c r="R71" s="1279"/>
      <c r="S71" s="1279"/>
      <c r="T71" s="1279"/>
      <c r="U71" s="1279"/>
      <c r="V71" s="1279"/>
      <c r="W71" s="1279"/>
      <c r="X71" s="1279"/>
      <c r="Y71" s="1279"/>
      <c r="Z71" s="1277"/>
    </row>
  </sheetData>
  <mergeCells count="36">
    <mergeCell ref="B55:H55"/>
    <mergeCell ref="P55:Y55"/>
    <mergeCell ref="B49:H49"/>
    <mergeCell ref="P49:Y49"/>
    <mergeCell ref="B50:H50"/>
    <mergeCell ref="P50:Y50"/>
    <mergeCell ref="P51:Y51"/>
    <mergeCell ref="P52:X52"/>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X5:Y5"/>
    <mergeCell ref="A6:A8"/>
    <mergeCell ref="B6:B8"/>
    <mergeCell ref="C6:C8"/>
    <mergeCell ref="D6:D8"/>
    <mergeCell ref="E6:E8"/>
    <mergeCell ref="H6:H8"/>
    <mergeCell ref="I6:I8"/>
    <mergeCell ref="J6:O6"/>
    <mergeCell ref="P6:U6"/>
  </mergeCells>
  <printOptions horizontalCentered="1"/>
  <pageMargins left="0.3" right="0.16" top="0.44" bottom="0.35" header="0.3" footer="0.3"/>
  <pageSetup paperSize="9" scale="50"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2"/>
  <sheetViews>
    <sheetView workbookViewId="0">
      <selection activeCell="W2" sqref="W2:Y2"/>
    </sheetView>
  </sheetViews>
  <sheetFormatPr defaultColWidth="10.28515625" defaultRowHeight="15.75" x14ac:dyDescent="0.25"/>
  <cols>
    <col min="1" max="1" width="4.140625" style="873" customWidth="1"/>
    <col min="2" max="2" width="21.5703125" style="873" customWidth="1"/>
    <col min="3" max="3" width="8.42578125" style="1176" customWidth="1"/>
    <col min="4" max="4" width="7" style="873" customWidth="1"/>
    <col min="5" max="5" width="15.140625" style="873" customWidth="1"/>
    <col min="6" max="6" width="11.42578125" style="350" customWidth="1"/>
    <col min="7" max="7" width="13.28515625" style="873" customWidth="1"/>
    <col min="8" max="8" width="11.28515625" style="873" customWidth="1"/>
    <col min="9" max="9" width="13.7109375" style="873" customWidth="1"/>
    <col min="10" max="11" width="9.85546875" style="873" customWidth="1"/>
    <col min="12" max="12" width="10.140625" style="873" customWidth="1"/>
    <col min="13" max="13" width="5.42578125" style="873" customWidth="1"/>
    <col min="14" max="14" width="9.28515625" style="873" customWidth="1"/>
    <col min="15" max="15" width="11.28515625" style="873" customWidth="1"/>
    <col min="16" max="16" width="13.85546875" style="873" customWidth="1"/>
    <col min="17" max="18" width="13.42578125" style="873" customWidth="1"/>
    <col min="19" max="19" width="10.5703125" style="873" customWidth="1"/>
    <col min="20" max="20" width="12.42578125" style="873" customWidth="1"/>
    <col min="21" max="22" width="11.7109375" style="873" customWidth="1"/>
    <col min="23" max="23" width="14.140625" style="873" customWidth="1"/>
    <col min="24" max="24" width="13.28515625" style="1175" customWidth="1"/>
    <col min="25" max="25" width="14.85546875" style="873" customWidth="1"/>
    <col min="26" max="26" width="18.5703125" style="873" customWidth="1"/>
    <col min="27" max="16384" width="10.28515625" style="873"/>
  </cols>
  <sheetData>
    <row r="1" spans="1:27" x14ac:dyDescent="0.25">
      <c r="A1" s="1779" t="str">
        <f>'48N'!A1</f>
        <v>UBND PHƯỜNG ĐỨC XUÂN</v>
      </c>
      <c r="B1" s="1779"/>
      <c r="C1" s="1779"/>
      <c r="D1" s="1779"/>
      <c r="E1" s="1779"/>
      <c r="F1" s="1779"/>
      <c r="G1" s="1779"/>
      <c r="H1" s="1779"/>
      <c r="I1" s="1125"/>
      <c r="J1" s="1125"/>
      <c r="K1" s="1125"/>
      <c r="L1" s="1125"/>
      <c r="M1" s="1125"/>
      <c r="N1" s="1125"/>
      <c r="O1" s="1125"/>
      <c r="P1" s="1125"/>
      <c r="Q1" s="1125"/>
      <c r="R1" s="872"/>
      <c r="S1" s="872"/>
      <c r="T1" s="872"/>
      <c r="U1" s="872"/>
      <c r="V1" s="872"/>
      <c r="W1" s="1975" t="s">
        <v>1048</v>
      </c>
      <c r="X1" s="1975"/>
      <c r="Y1" s="1975"/>
    </row>
    <row r="2" spans="1:27" ht="27.75" customHeight="1" x14ac:dyDescent="0.25">
      <c r="A2" s="1735"/>
      <c r="B2" s="1735"/>
      <c r="C2" s="1735"/>
      <c r="D2" s="1735"/>
      <c r="E2" s="1735"/>
      <c r="F2" s="1735"/>
      <c r="G2" s="1735"/>
      <c r="H2" s="1735"/>
      <c r="I2" s="1125"/>
      <c r="J2" s="1125"/>
      <c r="K2" s="1125"/>
      <c r="L2" s="1125"/>
      <c r="M2" s="1125"/>
      <c r="N2" s="1125"/>
      <c r="O2" s="1125"/>
      <c r="P2" s="1125"/>
      <c r="Q2" s="1125"/>
      <c r="R2" s="872"/>
      <c r="S2" s="872"/>
      <c r="T2" s="872"/>
      <c r="U2" s="872"/>
      <c r="V2" s="872"/>
      <c r="W2" s="1976" t="s">
        <v>1049</v>
      </c>
      <c r="X2" s="1976"/>
      <c r="Y2" s="1976"/>
    </row>
    <row r="3" spans="1:27" s="12" customFormat="1" ht="18.75" x14ac:dyDescent="0.25">
      <c r="A3" s="1978" t="s">
        <v>657</v>
      </c>
      <c r="B3" s="1978"/>
      <c r="C3" s="1978"/>
      <c r="D3" s="1978"/>
      <c r="E3" s="1978"/>
      <c r="F3" s="1978"/>
      <c r="G3" s="1978"/>
      <c r="H3" s="1978"/>
      <c r="I3" s="1978"/>
      <c r="J3" s="1978"/>
      <c r="K3" s="1978"/>
      <c r="L3" s="1978"/>
      <c r="M3" s="1978"/>
      <c r="N3" s="1978"/>
      <c r="O3" s="1978"/>
      <c r="P3" s="1978"/>
      <c r="Q3" s="1978"/>
      <c r="R3" s="1978"/>
      <c r="S3" s="1978"/>
      <c r="T3" s="1978"/>
      <c r="U3" s="1978"/>
      <c r="V3" s="1978"/>
      <c r="W3" s="1978"/>
      <c r="X3" s="1978"/>
      <c r="Y3" s="1978"/>
    </row>
    <row r="4" spans="1:27" ht="18.75" x14ac:dyDescent="0.3">
      <c r="A4" s="1948" t="str">
        <f>'48N'!A4:F4</f>
        <v>(Kèm theo Tờ trình số    /TTr-KTHT&amp;ĐT ngày      /4/2026 của phòng KTHT&amp;ĐT phường Đức Xuân)</v>
      </c>
      <c r="B4" s="1948"/>
      <c r="C4" s="1948"/>
      <c r="D4" s="1948"/>
      <c r="E4" s="1948"/>
      <c r="F4" s="1948"/>
      <c r="G4" s="1948"/>
      <c r="H4" s="1948"/>
      <c r="I4" s="1948"/>
      <c r="J4" s="1948"/>
      <c r="K4" s="1948"/>
      <c r="L4" s="1948"/>
      <c r="M4" s="1948"/>
      <c r="N4" s="1948"/>
      <c r="O4" s="1948"/>
      <c r="P4" s="1948"/>
      <c r="Q4" s="1948"/>
      <c r="R4" s="1948"/>
      <c r="S4" s="1948"/>
      <c r="T4" s="1948"/>
      <c r="U4" s="1948"/>
      <c r="V4" s="1948"/>
      <c r="W4" s="1948"/>
      <c r="X4" s="1948"/>
      <c r="Y4" s="1948"/>
    </row>
    <row r="5" spans="1:27" x14ac:dyDescent="0.25">
      <c r="A5" s="1126"/>
      <c r="B5" s="1126"/>
      <c r="C5" s="1127"/>
      <c r="D5" s="1126"/>
      <c r="E5" s="1128"/>
      <c r="F5" s="780"/>
      <c r="G5" s="1129"/>
      <c r="H5" s="1129"/>
      <c r="I5" s="1130"/>
      <c r="J5" s="1129"/>
      <c r="K5" s="1130"/>
      <c r="L5" s="1129"/>
      <c r="M5" s="1129"/>
      <c r="N5" s="1129"/>
      <c r="O5" s="1129"/>
      <c r="P5" s="1130"/>
      <c r="Q5" s="1131"/>
      <c r="R5" s="1131"/>
      <c r="S5" s="1949" t="s">
        <v>658</v>
      </c>
      <c r="T5" s="1949"/>
      <c r="U5" s="1949"/>
      <c r="V5" s="1949"/>
      <c r="W5" s="1949"/>
      <c r="X5" s="1949"/>
      <c r="Y5" s="1949"/>
    </row>
    <row r="6" spans="1:27" ht="31.5" customHeight="1" x14ac:dyDescent="0.25">
      <c r="A6" s="1943" t="s">
        <v>659</v>
      </c>
      <c r="B6" s="1943" t="s">
        <v>2</v>
      </c>
      <c r="C6" s="1950" t="s">
        <v>660</v>
      </c>
      <c r="D6" s="1953" t="s">
        <v>661</v>
      </c>
      <c r="E6" s="1943" t="s">
        <v>662</v>
      </c>
      <c r="F6" s="1943" t="s">
        <v>663</v>
      </c>
      <c r="G6" s="1943"/>
      <c r="H6" s="1942" t="s">
        <v>664</v>
      </c>
      <c r="I6" s="1942" t="s">
        <v>665</v>
      </c>
      <c r="J6" s="1942" t="s">
        <v>666</v>
      </c>
      <c r="K6" s="1942"/>
      <c r="L6" s="1942"/>
      <c r="M6" s="1942"/>
      <c r="N6" s="1942"/>
      <c r="O6" s="1942"/>
      <c r="P6" s="1942" t="s">
        <v>667</v>
      </c>
      <c r="Q6" s="1942"/>
      <c r="R6" s="1942"/>
      <c r="S6" s="1942"/>
      <c r="T6" s="1942"/>
      <c r="U6" s="1942"/>
      <c r="V6" s="1944" t="s">
        <v>668</v>
      </c>
      <c r="W6" s="1942" t="s">
        <v>669</v>
      </c>
      <c r="X6" s="1942" t="s">
        <v>670</v>
      </c>
      <c r="Y6" s="1943" t="s">
        <v>671</v>
      </c>
    </row>
    <row r="7" spans="1:27" ht="30" customHeight="1" x14ac:dyDescent="0.25">
      <c r="A7" s="1943"/>
      <c r="B7" s="1943"/>
      <c r="C7" s="1951"/>
      <c r="D7" s="1953"/>
      <c r="E7" s="1943"/>
      <c r="F7" s="1943"/>
      <c r="G7" s="1943"/>
      <c r="H7" s="1942"/>
      <c r="I7" s="1942"/>
      <c r="J7" s="1942" t="s">
        <v>672</v>
      </c>
      <c r="K7" s="1942" t="s">
        <v>673</v>
      </c>
      <c r="L7" s="1942"/>
      <c r="M7" s="1942"/>
      <c r="N7" s="1942" t="s">
        <v>674</v>
      </c>
      <c r="O7" s="1942" t="s">
        <v>675</v>
      </c>
      <c r="P7" s="1942" t="s">
        <v>676</v>
      </c>
      <c r="Q7" s="1942" t="s">
        <v>673</v>
      </c>
      <c r="R7" s="1942"/>
      <c r="S7" s="1942"/>
      <c r="T7" s="1942" t="s">
        <v>677</v>
      </c>
      <c r="U7" s="1942" t="s">
        <v>675</v>
      </c>
      <c r="V7" s="1945"/>
      <c r="W7" s="1942"/>
      <c r="X7" s="1942"/>
      <c r="Y7" s="1943"/>
    </row>
    <row r="8" spans="1:27" ht="115.5" customHeight="1" x14ac:dyDescent="0.25">
      <c r="A8" s="1943"/>
      <c r="B8" s="1943"/>
      <c r="C8" s="1952"/>
      <c r="D8" s="1953"/>
      <c r="E8" s="1943"/>
      <c r="F8" s="1742" t="s">
        <v>15</v>
      </c>
      <c r="G8" s="1739" t="s">
        <v>678</v>
      </c>
      <c r="H8" s="1942"/>
      <c r="I8" s="1942"/>
      <c r="J8" s="1942"/>
      <c r="K8" s="1739" t="s">
        <v>15</v>
      </c>
      <c r="L8" s="1739" t="s">
        <v>679</v>
      </c>
      <c r="M8" s="1739" t="s">
        <v>680</v>
      </c>
      <c r="N8" s="1942"/>
      <c r="O8" s="1942"/>
      <c r="P8" s="1942"/>
      <c r="Q8" s="1739" t="s">
        <v>15</v>
      </c>
      <c r="R8" s="1739" t="s">
        <v>679</v>
      </c>
      <c r="S8" s="1739" t="s">
        <v>680</v>
      </c>
      <c r="T8" s="1942"/>
      <c r="U8" s="1942"/>
      <c r="V8" s="1946"/>
      <c r="W8" s="1942"/>
      <c r="X8" s="1942"/>
      <c r="Y8" s="1943"/>
    </row>
    <row r="9" spans="1:27" s="1139" customFormat="1" ht="10.5" x14ac:dyDescent="0.15">
      <c r="A9" s="1133">
        <v>1</v>
      </c>
      <c r="B9" s="1133">
        <v>2</v>
      </c>
      <c r="C9" s="1133">
        <v>3</v>
      </c>
      <c r="D9" s="1133">
        <v>4</v>
      </c>
      <c r="E9" s="1133">
        <v>5</v>
      </c>
      <c r="F9" s="1134">
        <v>6</v>
      </c>
      <c r="G9" s="1133">
        <v>7</v>
      </c>
      <c r="H9" s="1133">
        <v>8</v>
      </c>
      <c r="I9" s="1133">
        <v>9</v>
      </c>
      <c r="J9" s="1135">
        <v>10</v>
      </c>
      <c r="K9" s="1133" t="s">
        <v>44</v>
      </c>
      <c r="L9" s="1133">
        <v>12</v>
      </c>
      <c r="M9" s="1133">
        <v>13</v>
      </c>
      <c r="N9" s="1133">
        <v>14</v>
      </c>
      <c r="O9" s="1133" t="s">
        <v>681</v>
      </c>
      <c r="P9" s="1133">
        <v>16</v>
      </c>
      <c r="Q9" s="1133" t="s">
        <v>682</v>
      </c>
      <c r="R9" s="1133">
        <v>18</v>
      </c>
      <c r="S9" s="1133">
        <v>19</v>
      </c>
      <c r="T9" s="1133">
        <v>20</v>
      </c>
      <c r="U9" s="1133" t="s">
        <v>683</v>
      </c>
      <c r="V9" s="1136">
        <v>22</v>
      </c>
      <c r="W9" s="1137" t="s">
        <v>684</v>
      </c>
      <c r="X9" s="1137" t="s">
        <v>685</v>
      </c>
      <c r="Y9" s="1137" t="s">
        <v>686</v>
      </c>
      <c r="Z9" s="1138"/>
    </row>
    <row r="10" spans="1:27" x14ac:dyDescent="0.25">
      <c r="A10" s="1738"/>
      <c r="B10" s="1738" t="s">
        <v>687</v>
      </c>
      <c r="C10" s="1738"/>
      <c r="D10" s="1738"/>
      <c r="E10" s="1141">
        <f>E15</f>
        <v>14822000000</v>
      </c>
      <c r="F10" s="1141">
        <f t="shared" ref="F10:Y10" si="0">F15</f>
        <v>0</v>
      </c>
      <c r="G10" s="1141">
        <f t="shared" si="0"/>
        <v>0</v>
      </c>
      <c r="H10" s="1141">
        <f t="shared" si="0"/>
        <v>0</v>
      </c>
      <c r="I10" s="1141">
        <f t="shared" si="0"/>
        <v>0</v>
      </c>
      <c r="J10" s="1141">
        <f t="shared" si="0"/>
        <v>0</v>
      </c>
      <c r="K10" s="1141">
        <f t="shared" si="0"/>
        <v>0</v>
      </c>
      <c r="L10" s="1141">
        <f t="shared" si="0"/>
        <v>0</v>
      </c>
      <c r="M10" s="1141">
        <f t="shared" si="0"/>
        <v>0</v>
      </c>
      <c r="N10" s="1141">
        <f t="shared" si="0"/>
        <v>0</v>
      </c>
      <c r="O10" s="1141">
        <f t="shared" si="0"/>
        <v>0</v>
      </c>
      <c r="P10" s="1141">
        <f t="shared" si="0"/>
        <v>2719000000</v>
      </c>
      <c r="Q10" s="1141">
        <f t="shared" si="0"/>
        <v>2718551585</v>
      </c>
      <c r="R10" s="1141">
        <f t="shared" si="0"/>
        <v>2718551585</v>
      </c>
      <c r="S10" s="1141">
        <f t="shared" si="0"/>
        <v>0</v>
      </c>
      <c r="T10" s="1141">
        <f t="shared" si="0"/>
        <v>0</v>
      </c>
      <c r="U10" s="1141">
        <f t="shared" si="0"/>
        <v>448415</v>
      </c>
      <c r="V10" s="1141">
        <f t="shared" si="0"/>
        <v>0</v>
      </c>
      <c r="W10" s="1141">
        <f t="shared" si="0"/>
        <v>2718551585</v>
      </c>
      <c r="X10" s="1141">
        <f t="shared" si="0"/>
        <v>0</v>
      </c>
      <c r="Y10" s="1141">
        <f t="shared" si="0"/>
        <v>2718551585</v>
      </c>
      <c r="Z10" s="1142"/>
      <c r="AA10" s="1142"/>
    </row>
    <row r="11" spans="1:27" s="1148" customFormat="1" ht="12" x14ac:dyDescent="0.25">
      <c r="A11" s="1143" t="s">
        <v>688</v>
      </c>
      <c r="B11" s="1144" t="s">
        <v>54</v>
      </c>
      <c r="C11" s="1144"/>
      <c r="D11" s="1145"/>
      <c r="E11" s="1146"/>
      <c r="F11" s="1147"/>
      <c r="G11" s="1146"/>
      <c r="H11" s="1146"/>
      <c r="I11" s="1146"/>
      <c r="J11" s="1146"/>
      <c r="K11" s="1146"/>
      <c r="L11" s="1146"/>
      <c r="M11" s="1146"/>
      <c r="N11" s="1146"/>
      <c r="O11" s="1146"/>
      <c r="P11" s="1146"/>
      <c r="Q11" s="1146"/>
      <c r="R11" s="1146"/>
      <c r="S11" s="1146"/>
      <c r="T11" s="1146"/>
      <c r="U11" s="1146"/>
      <c r="V11" s="1146"/>
      <c r="W11" s="1146"/>
      <c r="X11" s="1146"/>
      <c r="Y11" s="1146"/>
    </row>
    <row r="12" spans="1:27" s="1148" customFormat="1" ht="24" x14ac:dyDescent="0.25">
      <c r="A12" s="1143"/>
      <c r="B12" s="1149" t="s">
        <v>689</v>
      </c>
      <c r="C12" s="1149"/>
      <c r="D12" s="1145"/>
      <c r="E12" s="1150"/>
      <c r="F12" s="1151"/>
      <c r="G12" s="1150"/>
      <c r="H12" s="1150"/>
      <c r="I12" s="1150"/>
      <c r="J12" s="1150"/>
      <c r="K12" s="1150"/>
      <c r="L12" s="1150"/>
      <c r="M12" s="1150"/>
      <c r="N12" s="1150"/>
      <c r="O12" s="1150"/>
      <c r="P12" s="1150"/>
      <c r="Q12" s="1150"/>
      <c r="R12" s="1150"/>
      <c r="S12" s="1150"/>
      <c r="T12" s="1150"/>
      <c r="U12" s="1150"/>
      <c r="V12" s="1150"/>
      <c r="W12" s="1150"/>
      <c r="X12" s="1150"/>
      <c r="Y12" s="1150"/>
    </row>
    <row r="13" spans="1:27" s="1148" customFormat="1" ht="24" x14ac:dyDescent="0.25">
      <c r="A13" s="1143"/>
      <c r="B13" s="1149" t="s">
        <v>690</v>
      </c>
      <c r="C13" s="1149"/>
      <c r="D13" s="1145"/>
      <c r="E13" s="1150">
        <f>E14</f>
        <v>14822000000</v>
      </c>
      <c r="F13" s="1150">
        <f t="shared" ref="F13:X13" si="1">F14</f>
        <v>0</v>
      </c>
      <c r="G13" s="1150">
        <f t="shared" si="1"/>
        <v>0</v>
      </c>
      <c r="H13" s="1150">
        <f t="shared" si="1"/>
        <v>0</v>
      </c>
      <c r="I13" s="1150">
        <f t="shared" si="1"/>
        <v>0</v>
      </c>
      <c r="J13" s="1150">
        <f t="shared" si="1"/>
        <v>0</v>
      </c>
      <c r="K13" s="1150">
        <f t="shared" si="1"/>
        <v>0</v>
      </c>
      <c r="L13" s="1150">
        <f t="shared" si="1"/>
        <v>0</v>
      </c>
      <c r="M13" s="1150">
        <f t="shared" si="1"/>
        <v>0</v>
      </c>
      <c r="N13" s="1150">
        <f t="shared" si="1"/>
        <v>0</v>
      </c>
      <c r="O13" s="1150">
        <f t="shared" si="1"/>
        <v>0</v>
      </c>
      <c r="P13" s="1150">
        <f t="shared" si="1"/>
        <v>2719000000</v>
      </c>
      <c r="Q13" s="1150">
        <f t="shared" si="1"/>
        <v>2718551585</v>
      </c>
      <c r="R13" s="1150">
        <f t="shared" si="1"/>
        <v>2718551585</v>
      </c>
      <c r="S13" s="1150">
        <f t="shared" si="1"/>
        <v>0</v>
      </c>
      <c r="T13" s="1150">
        <f t="shared" si="1"/>
        <v>0</v>
      </c>
      <c r="U13" s="1150">
        <f t="shared" si="1"/>
        <v>448415</v>
      </c>
      <c r="V13" s="1150">
        <f t="shared" si="1"/>
        <v>0</v>
      </c>
      <c r="W13" s="1150">
        <f t="shared" si="1"/>
        <v>2718551585</v>
      </c>
      <c r="X13" s="1150">
        <f t="shared" si="1"/>
        <v>0</v>
      </c>
      <c r="Y13" s="1150">
        <f>Y14</f>
        <v>2718551585</v>
      </c>
    </row>
    <row r="14" spans="1:27" s="1155" customFormat="1" ht="24" x14ac:dyDescent="0.25">
      <c r="A14" s="1152">
        <v>1</v>
      </c>
      <c r="B14" s="1153" t="s">
        <v>691</v>
      </c>
      <c r="C14" s="1153"/>
      <c r="D14" s="1154"/>
      <c r="E14" s="1146">
        <f>E17</f>
        <v>14822000000</v>
      </c>
      <c r="F14" s="1146">
        <f t="shared" ref="F14:Y14" si="2">F17</f>
        <v>0</v>
      </c>
      <c r="G14" s="1146">
        <f t="shared" si="2"/>
        <v>0</v>
      </c>
      <c r="H14" s="1146">
        <f t="shared" si="2"/>
        <v>0</v>
      </c>
      <c r="I14" s="1146">
        <f t="shared" si="2"/>
        <v>0</v>
      </c>
      <c r="J14" s="1146">
        <f t="shared" si="2"/>
        <v>0</v>
      </c>
      <c r="K14" s="1146">
        <f t="shared" si="2"/>
        <v>0</v>
      </c>
      <c r="L14" s="1146">
        <f t="shared" si="2"/>
        <v>0</v>
      </c>
      <c r="M14" s="1146">
        <f t="shared" si="2"/>
        <v>0</v>
      </c>
      <c r="N14" s="1146">
        <f t="shared" si="2"/>
        <v>0</v>
      </c>
      <c r="O14" s="1146">
        <f t="shared" si="2"/>
        <v>0</v>
      </c>
      <c r="P14" s="1146">
        <f t="shared" si="2"/>
        <v>2719000000</v>
      </c>
      <c r="Q14" s="1146">
        <f t="shared" si="2"/>
        <v>2718551585</v>
      </c>
      <c r="R14" s="1146">
        <f t="shared" si="2"/>
        <v>2718551585</v>
      </c>
      <c r="S14" s="1146">
        <f t="shared" si="2"/>
        <v>0</v>
      </c>
      <c r="T14" s="1146">
        <f t="shared" si="2"/>
        <v>0</v>
      </c>
      <c r="U14" s="1146">
        <f t="shared" si="2"/>
        <v>448415</v>
      </c>
      <c r="V14" s="1146">
        <f t="shared" si="2"/>
        <v>0</v>
      </c>
      <c r="W14" s="1146">
        <f t="shared" si="2"/>
        <v>2718551585</v>
      </c>
      <c r="X14" s="1146">
        <f t="shared" si="2"/>
        <v>0</v>
      </c>
      <c r="Y14" s="1146">
        <f t="shared" si="2"/>
        <v>2718551585</v>
      </c>
    </row>
    <row r="15" spans="1:27" ht="24" x14ac:dyDescent="0.25">
      <c r="A15" s="1156" t="s">
        <v>4</v>
      </c>
      <c r="B15" s="1157" t="s">
        <v>692</v>
      </c>
      <c r="C15" s="1158"/>
      <c r="D15" s="1156"/>
      <c r="E15" s="1159">
        <f>E16</f>
        <v>14822000000</v>
      </c>
      <c r="F15" s="1159">
        <f t="shared" ref="F15:Y16" si="3">F16</f>
        <v>0</v>
      </c>
      <c r="G15" s="1159">
        <f t="shared" si="3"/>
        <v>0</v>
      </c>
      <c r="H15" s="1159">
        <f t="shared" si="3"/>
        <v>0</v>
      </c>
      <c r="I15" s="1159">
        <f t="shared" si="3"/>
        <v>0</v>
      </c>
      <c r="J15" s="1159">
        <f t="shared" si="3"/>
        <v>0</v>
      </c>
      <c r="K15" s="1159">
        <f t="shared" si="3"/>
        <v>0</v>
      </c>
      <c r="L15" s="1159">
        <f t="shared" si="3"/>
        <v>0</v>
      </c>
      <c r="M15" s="1159">
        <f t="shared" si="3"/>
        <v>0</v>
      </c>
      <c r="N15" s="1159">
        <f t="shared" si="3"/>
        <v>0</v>
      </c>
      <c r="O15" s="1159">
        <f t="shared" si="3"/>
        <v>0</v>
      </c>
      <c r="P15" s="1159">
        <f t="shared" si="3"/>
        <v>2719000000</v>
      </c>
      <c r="Q15" s="1159">
        <f t="shared" si="3"/>
        <v>2718551585</v>
      </c>
      <c r="R15" s="1159">
        <f t="shared" si="3"/>
        <v>2718551585</v>
      </c>
      <c r="S15" s="1159">
        <f t="shared" si="3"/>
        <v>0</v>
      </c>
      <c r="T15" s="1159">
        <f t="shared" si="3"/>
        <v>0</v>
      </c>
      <c r="U15" s="1159">
        <f t="shared" si="3"/>
        <v>448415</v>
      </c>
      <c r="V15" s="1159">
        <f t="shared" si="3"/>
        <v>0</v>
      </c>
      <c r="W15" s="1159">
        <f t="shared" si="3"/>
        <v>2718551585</v>
      </c>
      <c r="X15" s="1159">
        <f t="shared" si="3"/>
        <v>0</v>
      </c>
      <c r="Y15" s="1159">
        <f t="shared" si="3"/>
        <v>2718551585</v>
      </c>
      <c r="Z15" s="1142"/>
    </row>
    <row r="16" spans="1:27" ht="24" x14ac:dyDescent="0.25">
      <c r="A16" s="1156" t="s">
        <v>6</v>
      </c>
      <c r="B16" s="1160" t="s">
        <v>693</v>
      </c>
      <c r="C16" s="1161"/>
      <c r="D16" s="1156"/>
      <c r="E16" s="1159">
        <f>E17</f>
        <v>14822000000</v>
      </c>
      <c r="F16" s="1159">
        <f t="shared" si="3"/>
        <v>0</v>
      </c>
      <c r="G16" s="1159">
        <f t="shared" si="3"/>
        <v>0</v>
      </c>
      <c r="H16" s="1159">
        <f t="shared" si="3"/>
        <v>0</v>
      </c>
      <c r="I16" s="1159">
        <f t="shared" si="3"/>
        <v>0</v>
      </c>
      <c r="J16" s="1159">
        <f t="shared" si="3"/>
        <v>0</v>
      </c>
      <c r="K16" s="1159">
        <f t="shared" si="3"/>
        <v>0</v>
      </c>
      <c r="L16" s="1159">
        <f t="shared" si="3"/>
        <v>0</v>
      </c>
      <c r="M16" s="1159">
        <f t="shared" si="3"/>
        <v>0</v>
      </c>
      <c r="N16" s="1159">
        <f t="shared" si="3"/>
        <v>0</v>
      </c>
      <c r="O16" s="1159">
        <f t="shared" si="3"/>
        <v>0</v>
      </c>
      <c r="P16" s="1159">
        <f t="shared" si="3"/>
        <v>2719000000</v>
      </c>
      <c r="Q16" s="1159">
        <f t="shared" si="3"/>
        <v>2718551585</v>
      </c>
      <c r="R16" s="1159">
        <f t="shared" si="3"/>
        <v>2718551585</v>
      </c>
      <c r="S16" s="1159">
        <f t="shared" si="3"/>
        <v>0</v>
      </c>
      <c r="T16" s="1159">
        <f t="shared" si="3"/>
        <v>0</v>
      </c>
      <c r="U16" s="1159">
        <f t="shared" si="3"/>
        <v>448415</v>
      </c>
      <c r="V16" s="1159"/>
      <c r="W16" s="1159">
        <f t="shared" si="3"/>
        <v>2718551585</v>
      </c>
      <c r="X16" s="1159">
        <f t="shared" si="3"/>
        <v>0</v>
      </c>
      <c r="Y16" s="1159">
        <f t="shared" si="3"/>
        <v>2718551585</v>
      </c>
      <c r="Z16" s="1142"/>
    </row>
    <row r="17" spans="1:26" ht="40.5" x14ac:dyDescent="0.25">
      <c r="A17" s="1162">
        <v>1</v>
      </c>
      <c r="B17" s="1163" t="s">
        <v>691</v>
      </c>
      <c r="C17" s="501"/>
      <c r="D17" s="1164"/>
      <c r="E17" s="1165">
        <f t="shared" ref="E17:X17" si="4">E18</f>
        <v>14822000000</v>
      </c>
      <c r="F17" s="1166">
        <f t="shared" si="4"/>
        <v>0</v>
      </c>
      <c r="G17" s="1165">
        <f t="shared" si="4"/>
        <v>0</v>
      </c>
      <c r="H17" s="1165">
        <f t="shared" si="4"/>
        <v>0</v>
      </c>
      <c r="I17" s="1165">
        <f t="shared" si="4"/>
        <v>0</v>
      </c>
      <c r="J17" s="1165">
        <f t="shared" si="4"/>
        <v>0</v>
      </c>
      <c r="K17" s="1165">
        <f t="shared" si="4"/>
        <v>0</v>
      </c>
      <c r="L17" s="1165">
        <f t="shared" si="4"/>
        <v>0</v>
      </c>
      <c r="M17" s="1165">
        <f t="shared" si="4"/>
        <v>0</v>
      </c>
      <c r="N17" s="1165">
        <f t="shared" si="4"/>
        <v>0</v>
      </c>
      <c r="O17" s="1165">
        <f t="shared" si="4"/>
        <v>0</v>
      </c>
      <c r="P17" s="1165">
        <f t="shared" si="4"/>
        <v>2719000000</v>
      </c>
      <c r="Q17" s="1165">
        <f t="shared" si="4"/>
        <v>2718551585</v>
      </c>
      <c r="R17" s="1165">
        <f t="shared" si="4"/>
        <v>2718551585</v>
      </c>
      <c r="S17" s="1165">
        <f t="shared" si="4"/>
        <v>0</v>
      </c>
      <c r="T17" s="1165">
        <f t="shared" si="4"/>
        <v>0</v>
      </c>
      <c r="U17" s="1165">
        <f t="shared" si="4"/>
        <v>448415</v>
      </c>
      <c r="V17" s="1165"/>
      <c r="W17" s="1165">
        <f t="shared" si="4"/>
        <v>2718551585</v>
      </c>
      <c r="X17" s="1165">
        <f t="shared" si="4"/>
        <v>0</v>
      </c>
      <c r="Y17" s="1165">
        <f>Y18</f>
        <v>2718551585</v>
      </c>
      <c r="Z17" s="1142"/>
    </row>
    <row r="18" spans="1:26" s="1175" customFormat="1" ht="36" x14ac:dyDescent="0.25">
      <c r="A18" s="1167" t="s">
        <v>8</v>
      </c>
      <c r="B18" s="1168" t="s">
        <v>430</v>
      </c>
      <c r="C18" s="1169" t="s">
        <v>694</v>
      </c>
      <c r="D18" s="1170">
        <v>8073025</v>
      </c>
      <c r="E18" s="1171">
        <v>14822000000</v>
      </c>
      <c r="F18" s="1172"/>
      <c r="G18" s="1171"/>
      <c r="H18" s="1171"/>
      <c r="I18" s="1171"/>
      <c r="J18" s="1173"/>
      <c r="K18" s="1173">
        <f>L18+M18</f>
        <v>0</v>
      </c>
      <c r="L18" s="1173"/>
      <c r="M18" s="1173"/>
      <c r="N18" s="1173"/>
      <c r="O18" s="1173">
        <f>J18-K18</f>
        <v>0</v>
      </c>
      <c r="P18" s="1171">
        <v>2719000000</v>
      </c>
      <c r="Q18" s="1171">
        <f>R18+S18</f>
        <v>2718551585</v>
      </c>
      <c r="R18" s="1171">
        <v>2718551585</v>
      </c>
      <c r="S18" s="1171"/>
      <c r="T18" s="1171"/>
      <c r="U18" s="1171">
        <f>P18-Q18-T18</f>
        <v>448415</v>
      </c>
      <c r="V18" s="1171"/>
      <c r="W18" s="1171">
        <f>I18+L18+R18</f>
        <v>2718551585</v>
      </c>
      <c r="X18" s="1171">
        <f>G18-H18-I18+M18+S18</f>
        <v>0</v>
      </c>
      <c r="Y18" s="1174">
        <f>F18-H18+K18+Q18-V18</f>
        <v>2718551585</v>
      </c>
    </row>
    <row r="20" spans="1:26" s="1177" customFormat="1" ht="18.75" hidden="1" x14ac:dyDescent="0.3">
      <c r="B20" s="1980"/>
      <c r="C20" s="1980"/>
      <c r="D20" s="1980"/>
      <c r="E20" s="1980"/>
      <c r="F20" s="1980"/>
      <c r="G20" s="1980"/>
      <c r="H20" s="1980"/>
      <c r="I20" s="1747"/>
      <c r="J20" s="1747"/>
      <c r="K20" s="1747"/>
      <c r="L20" s="1748"/>
      <c r="M20" s="1747"/>
      <c r="N20" s="1747"/>
      <c r="O20" s="1747"/>
      <c r="P20" s="1981" t="s">
        <v>653</v>
      </c>
      <c r="Q20" s="1981"/>
      <c r="R20" s="1981"/>
      <c r="S20" s="1981"/>
      <c r="T20" s="1981"/>
      <c r="U20" s="1981"/>
      <c r="V20" s="1981"/>
      <c r="W20" s="1981"/>
      <c r="X20" s="1981"/>
      <c r="Y20" s="1981"/>
      <c r="Z20" s="1747"/>
    </row>
    <row r="21" spans="1:26" s="1177" customFormat="1" ht="18.75" hidden="1" x14ac:dyDescent="0.3">
      <c r="F21" s="1749"/>
      <c r="I21" s="1750"/>
      <c r="J21" s="1750"/>
      <c r="K21" s="1750"/>
      <c r="L21" s="1750"/>
      <c r="M21" s="1750"/>
      <c r="N21" s="1750"/>
      <c r="O21" s="1750"/>
      <c r="P21" s="1982" t="s">
        <v>1052</v>
      </c>
      <c r="Q21" s="1982"/>
      <c r="R21" s="1982"/>
      <c r="S21" s="1982"/>
      <c r="T21" s="1982"/>
      <c r="U21" s="1982"/>
      <c r="V21" s="1982"/>
      <c r="W21" s="1982"/>
      <c r="X21" s="1982"/>
      <c r="Y21" s="1982"/>
      <c r="Z21" s="1750"/>
    </row>
    <row r="22" spans="1:26" s="1751" customFormat="1" ht="20.25" hidden="1" x14ac:dyDescent="0.3">
      <c r="B22" s="1983" t="s">
        <v>1024</v>
      </c>
      <c r="C22" s="1983"/>
      <c r="D22" s="1983"/>
      <c r="E22" s="1983"/>
      <c r="F22" s="1983"/>
      <c r="G22" s="1983"/>
      <c r="H22" s="1983"/>
      <c r="I22" s="1752"/>
      <c r="J22" s="1752"/>
      <c r="K22" s="1752"/>
      <c r="L22" s="1752"/>
      <c r="M22" s="1752"/>
      <c r="N22" s="1752"/>
      <c r="O22" s="1752"/>
      <c r="P22" s="1979" t="s">
        <v>271</v>
      </c>
      <c r="Q22" s="1979"/>
      <c r="R22" s="1979"/>
      <c r="S22" s="1979"/>
      <c r="T22" s="1979"/>
      <c r="U22" s="1979"/>
      <c r="V22" s="1979"/>
      <c r="W22" s="1979"/>
      <c r="X22" s="1979"/>
      <c r="Y22" s="1979"/>
      <c r="Z22" s="1752"/>
    </row>
    <row r="23" spans="1:26" s="1751" customFormat="1" ht="20.25" hidden="1" x14ac:dyDescent="0.3">
      <c r="B23" s="1753"/>
      <c r="C23" s="1753"/>
      <c r="F23" s="1178"/>
      <c r="G23" s="1752"/>
      <c r="H23" s="1752"/>
      <c r="I23" s="1752"/>
      <c r="J23" s="1752"/>
      <c r="K23" s="1752"/>
      <c r="L23" s="1752"/>
      <c r="M23" s="1752"/>
      <c r="P23" s="1979"/>
      <c r="Q23" s="1979"/>
      <c r="R23" s="1979"/>
      <c r="S23" s="1979"/>
      <c r="T23" s="1979"/>
      <c r="U23" s="1979"/>
      <c r="V23" s="1979"/>
      <c r="W23" s="1979"/>
      <c r="X23" s="1979"/>
    </row>
    <row r="24" spans="1:26" s="1751" customFormat="1" ht="20.25" hidden="1" x14ac:dyDescent="0.3">
      <c r="B24" s="1753"/>
      <c r="C24" s="1753"/>
      <c r="F24" s="1744"/>
      <c r="G24" s="1179"/>
      <c r="H24" s="1179"/>
      <c r="I24" s="1179"/>
      <c r="J24" s="1179"/>
      <c r="K24" s="1179"/>
      <c r="L24" s="1179"/>
      <c r="M24" s="1179"/>
      <c r="P24" s="1179"/>
      <c r="Q24" s="1179"/>
      <c r="R24" s="1179"/>
      <c r="S24" s="1179"/>
      <c r="T24" s="1179"/>
      <c r="U24" s="1179"/>
      <c r="V24" s="1179"/>
      <c r="W24" s="1179"/>
      <c r="X24" s="1754"/>
    </row>
    <row r="25" spans="1:26" s="1751" customFormat="1" ht="20.25" hidden="1" x14ac:dyDescent="0.3">
      <c r="B25" s="1753"/>
      <c r="C25" s="1753"/>
      <c r="F25" s="1180"/>
      <c r="P25" s="1753"/>
      <c r="X25" s="1755"/>
    </row>
    <row r="26" spans="1:26" s="1751" customFormat="1" ht="20.25" hidden="1" x14ac:dyDescent="0.3">
      <c r="B26" s="1979"/>
      <c r="C26" s="1979"/>
      <c r="D26" s="1979"/>
      <c r="E26" s="1979"/>
      <c r="F26" s="1979"/>
      <c r="G26" s="1979"/>
      <c r="H26" s="1979"/>
      <c r="I26" s="1752"/>
      <c r="J26" s="1752"/>
      <c r="K26" s="1752"/>
      <c r="L26" s="1752"/>
      <c r="M26" s="1752"/>
      <c r="N26" s="1752"/>
      <c r="O26" s="1752"/>
      <c r="P26" s="1979" t="s">
        <v>459</v>
      </c>
      <c r="Q26" s="1979"/>
      <c r="R26" s="1979"/>
      <c r="S26" s="1979"/>
      <c r="T26" s="1979"/>
      <c r="U26" s="1979"/>
      <c r="V26" s="1979"/>
      <c r="W26" s="1979"/>
      <c r="X26" s="1979"/>
      <c r="Y26" s="1979"/>
      <c r="Z26" s="1752"/>
    </row>
    <row r="27" spans="1:26" s="1177" customFormat="1" ht="20.25" hidden="1" x14ac:dyDescent="0.3">
      <c r="B27" s="1737"/>
      <c r="C27" s="1737"/>
      <c r="D27" s="1737"/>
      <c r="E27" s="1737"/>
      <c r="F27" s="1741"/>
      <c r="G27" s="1737"/>
      <c r="H27" s="1737"/>
      <c r="I27" s="1183"/>
      <c r="J27" s="1183"/>
      <c r="K27" s="1183"/>
      <c r="L27" s="1183"/>
      <c r="M27" s="1183"/>
      <c r="N27" s="1183"/>
      <c r="O27" s="1183"/>
      <c r="P27" s="1179"/>
      <c r="Q27" s="1179"/>
      <c r="R27" s="1179"/>
      <c r="S27" s="1179"/>
      <c r="T27" s="1179"/>
      <c r="U27" s="1179"/>
      <c r="V27" s="1179"/>
      <c r="W27" s="1179"/>
      <c r="X27" s="1179"/>
      <c r="Y27" s="1179"/>
      <c r="Z27" s="1183"/>
    </row>
    <row r="28" spans="1:26" s="1177" customFormat="1" ht="20.25" x14ac:dyDescent="0.3">
      <c r="B28" s="1737"/>
      <c r="C28" s="1737"/>
      <c r="D28" s="1737"/>
      <c r="E28" s="1737"/>
      <c r="F28" s="1741"/>
      <c r="G28" s="1737"/>
      <c r="H28" s="1737"/>
      <c r="I28" s="1183"/>
      <c r="J28" s="1183"/>
      <c r="K28" s="1183"/>
      <c r="L28" s="1183"/>
      <c r="M28" s="1183"/>
      <c r="N28" s="1183"/>
      <c r="O28" s="1183"/>
      <c r="P28" s="1179"/>
      <c r="Q28" s="1179"/>
      <c r="R28" s="1179"/>
      <c r="S28" s="1179"/>
      <c r="T28" s="1179"/>
      <c r="U28" s="1179"/>
      <c r="V28" s="1179"/>
      <c r="W28" s="1179"/>
      <c r="X28" s="1179"/>
      <c r="Y28" s="1179"/>
      <c r="Z28" s="1183"/>
    </row>
    <row r="29" spans="1:26" s="1177" customFormat="1" ht="20.25" x14ac:dyDescent="0.3">
      <c r="B29" s="1737"/>
      <c r="C29" s="1737"/>
      <c r="D29" s="1737"/>
      <c r="E29" s="1737"/>
      <c r="F29" s="1741"/>
      <c r="G29" s="1737"/>
      <c r="H29" s="1737"/>
      <c r="I29" s="1183"/>
      <c r="J29" s="1183"/>
      <c r="K29" s="1183"/>
      <c r="L29" s="1183"/>
      <c r="M29" s="1183"/>
      <c r="N29" s="1183"/>
      <c r="O29" s="1183"/>
      <c r="P29" s="1179"/>
      <c r="Q29" s="1179"/>
      <c r="R29" s="1179"/>
      <c r="S29" s="1179"/>
      <c r="T29" s="1179"/>
      <c r="U29" s="1179"/>
      <c r="V29" s="1179"/>
      <c r="W29" s="1179"/>
      <c r="X29" s="1179"/>
      <c r="Y29" s="1179"/>
      <c r="Z29" s="1183"/>
    </row>
    <row r="30" spans="1:26" s="1177" customFormat="1" ht="20.25" x14ac:dyDescent="0.3">
      <c r="B30" s="1737"/>
      <c r="C30" s="1737"/>
      <c r="D30" s="1737"/>
      <c r="E30" s="1737"/>
      <c r="F30" s="1741"/>
      <c r="G30" s="1737"/>
      <c r="H30" s="1737"/>
      <c r="I30" s="1183"/>
      <c r="J30" s="1183"/>
      <c r="K30" s="1183"/>
      <c r="L30" s="1183"/>
      <c r="M30" s="1183"/>
      <c r="N30" s="1183"/>
      <c r="O30" s="1183"/>
      <c r="P30" s="1179"/>
      <c r="Q30" s="1179"/>
      <c r="R30" s="1179"/>
      <c r="S30" s="1179"/>
      <c r="T30" s="1179"/>
      <c r="U30" s="1179"/>
      <c r="V30" s="1179"/>
      <c r="W30" s="1179"/>
      <c r="X30" s="1179"/>
      <c r="Y30" s="1179"/>
      <c r="Z30" s="1183"/>
    </row>
    <row r="31" spans="1:26" s="1177" customFormat="1" ht="20.25" x14ac:dyDescent="0.3">
      <c r="B31" s="1737"/>
      <c r="C31" s="1737"/>
      <c r="D31" s="1737"/>
      <c r="E31" s="1737"/>
      <c r="F31" s="1741"/>
      <c r="G31" s="1737"/>
      <c r="H31" s="1737"/>
      <c r="I31" s="1183"/>
      <c r="J31" s="1183"/>
      <c r="K31" s="1183"/>
      <c r="L31" s="1183"/>
      <c r="M31" s="1183"/>
      <c r="N31" s="1183"/>
      <c r="O31" s="1183"/>
      <c r="P31" s="1179"/>
      <c r="Q31" s="1179"/>
      <c r="R31" s="1179"/>
      <c r="S31" s="1179"/>
      <c r="T31" s="1179"/>
      <c r="U31" s="1179"/>
      <c r="V31" s="1179"/>
      <c r="W31" s="1179"/>
      <c r="X31" s="1179"/>
      <c r="Y31" s="1179"/>
      <c r="Z31" s="1183"/>
    </row>
    <row r="32" spans="1:26" s="1177" customFormat="1" ht="20.25" x14ac:dyDescent="0.3">
      <c r="B32" s="1737"/>
      <c r="C32" s="1737"/>
      <c r="D32" s="1737"/>
      <c r="E32" s="1737"/>
      <c r="F32" s="1741"/>
      <c r="G32" s="1737"/>
      <c r="H32" s="1737"/>
      <c r="I32" s="1183"/>
      <c r="J32" s="1183"/>
      <c r="K32" s="1183"/>
      <c r="L32" s="1183"/>
      <c r="M32" s="1183"/>
      <c r="N32" s="1183"/>
      <c r="O32" s="1183"/>
      <c r="P32" s="1179"/>
      <c r="Q32" s="1179"/>
      <c r="R32" s="1179"/>
      <c r="S32" s="1179"/>
      <c r="T32" s="1179"/>
      <c r="U32" s="1179"/>
      <c r="V32" s="1179"/>
      <c r="W32" s="1179"/>
      <c r="X32" s="1179"/>
      <c r="Y32" s="1179"/>
      <c r="Z32" s="1183"/>
    </row>
    <row r="33" spans="2:26" s="1177" customFormat="1" ht="20.25" x14ac:dyDescent="0.3">
      <c r="B33" s="1737"/>
      <c r="C33" s="1737"/>
      <c r="D33" s="1737"/>
      <c r="E33" s="1737"/>
      <c r="F33" s="1741"/>
      <c r="G33" s="1737"/>
      <c r="H33" s="1737"/>
      <c r="I33" s="1183"/>
      <c r="J33" s="1183"/>
      <c r="K33" s="1183"/>
      <c r="L33" s="1183"/>
      <c r="M33" s="1183"/>
      <c r="N33" s="1183"/>
      <c r="O33" s="1183"/>
      <c r="P33" s="1179"/>
      <c r="Q33" s="1179"/>
      <c r="R33" s="1179"/>
      <c r="S33" s="1179"/>
      <c r="T33" s="1179"/>
      <c r="U33" s="1179"/>
      <c r="V33" s="1179"/>
      <c r="W33" s="1179"/>
      <c r="X33" s="1179"/>
      <c r="Y33" s="1179"/>
      <c r="Z33" s="1183"/>
    </row>
    <row r="34" spans="2:26" s="1177" customFormat="1" ht="20.25" x14ac:dyDescent="0.3">
      <c r="B34" s="1737"/>
      <c r="C34" s="1737"/>
      <c r="D34" s="1737"/>
      <c r="E34" s="1737"/>
      <c r="F34" s="1741"/>
      <c r="G34" s="1737"/>
      <c r="H34" s="1737"/>
      <c r="I34" s="1183"/>
      <c r="J34" s="1183"/>
      <c r="K34" s="1183"/>
      <c r="L34" s="1183"/>
      <c r="M34" s="1183"/>
      <c r="N34" s="1183"/>
      <c r="O34" s="1183"/>
      <c r="P34" s="1179"/>
      <c r="Q34" s="1179"/>
      <c r="R34" s="1179"/>
      <c r="S34" s="1179"/>
      <c r="T34" s="1179"/>
      <c r="U34" s="1179"/>
      <c r="V34" s="1179"/>
      <c r="W34" s="1179"/>
      <c r="X34" s="1179"/>
      <c r="Y34" s="1179"/>
      <c r="Z34" s="1183"/>
    </row>
    <row r="35" spans="2:26" s="1177" customFormat="1" ht="20.25" x14ac:dyDescent="0.3">
      <c r="B35" s="1737"/>
      <c r="C35" s="1737"/>
      <c r="D35" s="1737"/>
      <c r="E35" s="1737"/>
      <c r="F35" s="1741"/>
      <c r="G35" s="1737"/>
      <c r="H35" s="1737"/>
      <c r="I35" s="1183"/>
      <c r="J35" s="1183"/>
      <c r="K35" s="1183"/>
      <c r="L35" s="1183"/>
      <c r="M35" s="1183"/>
      <c r="N35" s="1183"/>
      <c r="O35" s="1183"/>
      <c r="P35" s="1179"/>
      <c r="Q35" s="1179"/>
      <c r="R35" s="1179"/>
      <c r="S35" s="1179"/>
      <c r="T35" s="1179"/>
      <c r="U35" s="1179"/>
      <c r="V35" s="1179"/>
      <c r="W35" s="1179"/>
      <c r="X35" s="1179"/>
      <c r="Y35" s="1179"/>
      <c r="Z35" s="1183"/>
    </row>
    <row r="36" spans="2:26" s="1177" customFormat="1" ht="20.25" x14ac:dyDescent="0.3">
      <c r="B36" s="1737"/>
      <c r="C36" s="1737"/>
      <c r="D36" s="1737"/>
      <c r="E36" s="1737"/>
      <c r="F36" s="1741"/>
      <c r="G36" s="1737"/>
      <c r="H36" s="1737"/>
      <c r="I36" s="1183"/>
      <c r="J36" s="1183"/>
      <c r="K36" s="1183"/>
      <c r="L36" s="1183"/>
      <c r="M36" s="1183"/>
      <c r="N36" s="1183"/>
      <c r="O36" s="1183"/>
      <c r="P36" s="1179"/>
      <c r="Q36" s="1179"/>
      <c r="R36" s="1179"/>
      <c r="S36" s="1179"/>
      <c r="T36" s="1179"/>
      <c r="U36" s="1179"/>
      <c r="V36" s="1179"/>
      <c r="W36" s="1179"/>
      <c r="X36" s="1179"/>
      <c r="Y36" s="1179"/>
      <c r="Z36" s="1183"/>
    </row>
    <row r="37" spans="2:26" s="1177" customFormat="1" ht="20.25" x14ac:dyDescent="0.3">
      <c r="B37" s="1737"/>
      <c r="C37" s="1737"/>
      <c r="D37" s="1737"/>
      <c r="E37" s="1737"/>
      <c r="F37" s="1741"/>
      <c r="G37" s="1737"/>
      <c r="H37" s="1737"/>
      <c r="I37" s="1183"/>
      <c r="J37" s="1183"/>
      <c r="K37" s="1183"/>
      <c r="L37" s="1183"/>
      <c r="M37" s="1183"/>
      <c r="N37" s="1183"/>
      <c r="O37" s="1183"/>
      <c r="P37" s="1179"/>
      <c r="Q37" s="1179"/>
      <c r="R37" s="1179"/>
      <c r="S37" s="1179"/>
      <c r="T37" s="1179"/>
      <c r="U37" s="1179"/>
      <c r="V37" s="1179"/>
      <c r="W37" s="1179"/>
      <c r="X37" s="1179"/>
      <c r="Y37" s="1179"/>
      <c r="Z37" s="1183"/>
    </row>
    <row r="38" spans="2:26" s="1177" customFormat="1" ht="20.25" x14ac:dyDescent="0.3">
      <c r="B38" s="1737"/>
      <c r="C38" s="1737"/>
      <c r="D38" s="1737"/>
      <c r="E38" s="1737"/>
      <c r="F38" s="1741"/>
      <c r="G38" s="1737"/>
      <c r="H38" s="1737"/>
      <c r="I38" s="1183"/>
      <c r="J38" s="1183"/>
      <c r="K38" s="1183"/>
      <c r="L38" s="1183"/>
      <c r="M38" s="1183"/>
      <c r="N38" s="1183"/>
      <c r="O38" s="1183"/>
      <c r="P38" s="1179"/>
      <c r="Q38" s="1179"/>
      <c r="R38" s="1179"/>
      <c r="S38" s="1179"/>
      <c r="T38" s="1179"/>
      <c r="U38" s="1179"/>
      <c r="V38" s="1179"/>
      <c r="W38" s="1179"/>
      <c r="X38" s="1179"/>
      <c r="Y38" s="1179"/>
      <c r="Z38" s="1183"/>
    </row>
    <row r="39" spans="2:26" s="1177" customFormat="1" ht="20.25" x14ac:dyDescent="0.3">
      <c r="B39" s="1737"/>
      <c r="C39" s="1737"/>
      <c r="D39" s="1737"/>
      <c r="E39" s="1737"/>
      <c r="F39" s="1741"/>
      <c r="G39" s="1737"/>
      <c r="H39" s="1737"/>
      <c r="I39" s="1183"/>
      <c r="J39" s="1183"/>
      <c r="K39" s="1183"/>
      <c r="L39" s="1183"/>
      <c r="M39" s="1183"/>
      <c r="N39" s="1183"/>
      <c r="O39" s="1183"/>
      <c r="P39" s="1179"/>
      <c r="Q39" s="1179"/>
      <c r="R39" s="1179"/>
      <c r="S39" s="1179"/>
      <c r="T39" s="1179"/>
      <c r="U39" s="1179"/>
      <c r="V39" s="1179"/>
      <c r="W39" s="1179"/>
      <c r="X39" s="1179"/>
      <c r="Y39" s="1179"/>
      <c r="Z39" s="1183"/>
    </row>
    <row r="40" spans="2:26" s="1177" customFormat="1" ht="20.25" x14ac:dyDescent="0.3">
      <c r="B40" s="1737"/>
      <c r="C40" s="1737"/>
      <c r="D40" s="1737"/>
      <c r="E40" s="1737"/>
      <c r="F40" s="1741"/>
      <c r="G40" s="1737"/>
      <c r="H40" s="1737"/>
      <c r="I40" s="1183"/>
      <c r="J40" s="1183"/>
      <c r="K40" s="1183"/>
      <c r="L40" s="1183"/>
      <c r="M40" s="1183"/>
      <c r="N40" s="1183"/>
      <c r="O40" s="1183"/>
      <c r="P40" s="1179"/>
      <c r="Q40" s="1179"/>
      <c r="R40" s="1179"/>
      <c r="S40" s="1179"/>
      <c r="T40" s="1179"/>
      <c r="U40" s="1179"/>
      <c r="V40" s="1179"/>
      <c r="W40" s="1179"/>
      <c r="X40" s="1179"/>
      <c r="Y40" s="1179"/>
      <c r="Z40" s="1183"/>
    </row>
    <row r="41" spans="2:26" s="1177" customFormat="1" ht="20.25" x14ac:dyDescent="0.3">
      <c r="B41" s="1737"/>
      <c r="C41" s="1737"/>
      <c r="D41" s="1737"/>
      <c r="E41" s="1737"/>
      <c r="F41" s="1741"/>
      <c r="G41" s="1737"/>
      <c r="H41" s="1737"/>
      <c r="I41" s="1183"/>
      <c r="J41" s="1183"/>
      <c r="K41" s="1183"/>
      <c r="L41" s="1183"/>
      <c r="M41" s="1183"/>
      <c r="N41" s="1183"/>
      <c r="O41" s="1183"/>
      <c r="P41" s="1179"/>
      <c r="Q41" s="1179"/>
      <c r="R41" s="1179"/>
      <c r="S41" s="1179"/>
      <c r="T41" s="1179"/>
      <c r="U41" s="1179"/>
      <c r="V41" s="1179"/>
      <c r="W41" s="1179"/>
      <c r="X41" s="1179"/>
      <c r="Y41" s="1179"/>
      <c r="Z41" s="1183"/>
    </row>
    <row r="42" spans="2:26" s="1177" customFormat="1" ht="20.25" x14ac:dyDescent="0.3">
      <c r="B42" s="1737"/>
      <c r="C42" s="1737"/>
      <c r="D42" s="1737"/>
      <c r="E42" s="1737"/>
      <c r="F42" s="1741"/>
      <c r="G42" s="1737"/>
      <c r="H42" s="1737"/>
      <c r="I42" s="1183"/>
      <c r="J42" s="1183"/>
      <c r="K42" s="1183"/>
      <c r="L42" s="1183"/>
      <c r="M42" s="1183"/>
      <c r="N42" s="1183"/>
      <c r="O42" s="1183"/>
      <c r="P42" s="1179"/>
      <c r="Q42" s="1179"/>
      <c r="R42" s="1179"/>
      <c r="S42" s="1179"/>
      <c r="T42" s="1179"/>
      <c r="U42" s="1179"/>
      <c r="V42" s="1179"/>
      <c r="W42" s="1179"/>
      <c r="X42" s="1179"/>
      <c r="Y42" s="1179"/>
      <c r="Z42" s="1183"/>
    </row>
  </sheetData>
  <mergeCells count="36">
    <mergeCell ref="B26:H26"/>
    <mergeCell ref="P26:Y26"/>
    <mergeCell ref="B20:H20"/>
    <mergeCell ref="P20:Y20"/>
    <mergeCell ref="P21:Y21"/>
    <mergeCell ref="B22:H22"/>
    <mergeCell ref="P22:Y22"/>
    <mergeCell ref="P23:X23"/>
    <mergeCell ref="V6:V8"/>
    <mergeCell ref="X6:X8"/>
    <mergeCell ref="Y6:Y8"/>
    <mergeCell ref="J7:J8"/>
    <mergeCell ref="K7:M7"/>
    <mergeCell ref="N7:N8"/>
    <mergeCell ref="O7:O8"/>
    <mergeCell ref="P7:P8"/>
    <mergeCell ref="Q7:S7"/>
    <mergeCell ref="T7:T8"/>
    <mergeCell ref="U7:U8"/>
    <mergeCell ref="W6:W8"/>
    <mergeCell ref="F6:G7"/>
    <mergeCell ref="A1:H1"/>
    <mergeCell ref="W1:Y1"/>
    <mergeCell ref="W2:Y2"/>
    <mergeCell ref="A3:Y3"/>
    <mergeCell ref="A4:Y4"/>
    <mergeCell ref="S5:Y5"/>
    <mergeCell ref="A6:A8"/>
    <mergeCell ref="B6:B8"/>
    <mergeCell ref="C6:C8"/>
    <mergeCell ref="D6:D8"/>
    <mergeCell ref="E6:E8"/>
    <mergeCell ref="H6:H8"/>
    <mergeCell ref="I6:I8"/>
    <mergeCell ref="J6:O6"/>
    <mergeCell ref="P6:U6"/>
  </mergeCells>
  <printOptions horizontalCentered="1"/>
  <pageMargins left="0.24" right="0.16" top="0.33" bottom="0.38" header="0.3" footer="0.3"/>
  <pageSetup paperSize="9" scale="50" orientation="landscape"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10" workbookViewId="0">
      <selection activeCell="I36" sqref="I36"/>
    </sheetView>
  </sheetViews>
  <sheetFormatPr defaultRowHeight="15.75" x14ac:dyDescent="0.25"/>
  <cols>
    <col min="1" max="1" width="6.85546875" style="1286" customWidth="1"/>
    <col min="2" max="2" width="39.5703125" style="1286" customWidth="1"/>
    <col min="3" max="3" width="17.42578125" style="1286" customWidth="1"/>
    <col min="4" max="4" width="14.28515625" style="1287" customWidth="1"/>
    <col min="5" max="5" width="17" style="1287" customWidth="1"/>
    <col min="6" max="6" width="14.5703125" style="1286" customWidth="1"/>
    <col min="7" max="7" width="9.140625" style="1286"/>
    <col min="8" max="8" width="34.28515625" style="1286" customWidth="1"/>
    <col min="9" max="256" width="9.140625" style="1286"/>
    <col min="257" max="257" width="6.85546875" style="1286" customWidth="1"/>
    <col min="258" max="258" width="39.5703125" style="1286" customWidth="1"/>
    <col min="259" max="260" width="10.7109375" style="1286" customWidth="1"/>
    <col min="261" max="261" width="13.140625" style="1286" customWidth="1"/>
    <col min="262" max="262" width="17.42578125" style="1286" customWidth="1"/>
    <col min="263" max="512" width="9.140625" style="1286"/>
    <col min="513" max="513" width="6.85546875" style="1286" customWidth="1"/>
    <col min="514" max="514" width="39.5703125" style="1286" customWidth="1"/>
    <col min="515" max="516" width="10.7109375" style="1286" customWidth="1"/>
    <col min="517" max="517" width="13.140625" style="1286" customWidth="1"/>
    <col min="518" max="518" width="17.42578125" style="1286" customWidth="1"/>
    <col min="519" max="768" width="9.140625" style="1286"/>
    <col min="769" max="769" width="6.85546875" style="1286" customWidth="1"/>
    <col min="770" max="770" width="39.5703125" style="1286" customWidth="1"/>
    <col min="771" max="772" width="10.7109375" style="1286" customWidth="1"/>
    <col min="773" max="773" width="13.140625" style="1286" customWidth="1"/>
    <col min="774" max="774" width="17.42578125" style="1286" customWidth="1"/>
    <col min="775" max="1024" width="9.140625" style="1286"/>
    <col min="1025" max="1025" width="6.85546875" style="1286" customWidth="1"/>
    <col min="1026" max="1026" width="39.5703125" style="1286" customWidth="1"/>
    <col min="1027" max="1028" width="10.7109375" style="1286" customWidth="1"/>
    <col min="1029" max="1029" width="13.140625" style="1286" customWidth="1"/>
    <col min="1030" max="1030" width="17.42578125" style="1286" customWidth="1"/>
    <col min="1031" max="1280" width="9.140625" style="1286"/>
    <col min="1281" max="1281" width="6.85546875" style="1286" customWidth="1"/>
    <col min="1282" max="1282" width="39.5703125" style="1286" customWidth="1"/>
    <col min="1283" max="1284" width="10.7109375" style="1286" customWidth="1"/>
    <col min="1285" max="1285" width="13.140625" style="1286" customWidth="1"/>
    <col min="1286" max="1286" width="17.42578125" style="1286" customWidth="1"/>
    <col min="1287" max="1536" width="9.140625" style="1286"/>
    <col min="1537" max="1537" width="6.85546875" style="1286" customWidth="1"/>
    <col min="1538" max="1538" width="39.5703125" style="1286" customWidth="1"/>
    <col min="1539" max="1540" width="10.7109375" style="1286" customWidth="1"/>
    <col min="1541" max="1541" width="13.140625" style="1286" customWidth="1"/>
    <col min="1542" max="1542" width="17.42578125" style="1286" customWidth="1"/>
    <col min="1543" max="1792" width="9.140625" style="1286"/>
    <col min="1793" max="1793" width="6.85546875" style="1286" customWidth="1"/>
    <col min="1794" max="1794" width="39.5703125" style="1286" customWidth="1"/>
    <col min="1795" max="1796" width="10.7109375" style="1286" customWidth="1"/>
    <col min="1797" max="1797" width="13.140625" style="1286" customWidth="1"/>
    <col min="1798" max="1798" width="17.42578125" style="1286" customWidth="1"/>
    <col min="1799" max="2048" width="9.140625" style="1286"/>
    <col min="2049" max="2049" width="6.85546875" style="1286" customWidth="1"/>
    <col min="2050" max="2050" width="39.5703125" style="1286" customWidth="1"/>
    <col min="2051" max="2052" width="10.7109375" style="1286" customWidth="1"/>
    <col min="2053" max="2053" width="13.140625" style="1286" customWidth="1"/>
    <col min="2054" max="2054" width="17.42578125" style="1286" customWidth="1"/>
    <col min="2055" max="2304" width="9.140625" style="1286"/>
    <col min="2305" max="2305" width="6.85546875" style="1286" customWidth="1"/>
    <col min="2306" max="2306" width="39.5703125" style="1286" customWidth="1"/>
    <col min="2307" max="2308" width="10.7109375" style="1286" customWidth="1"/>
    <col min="2309" max="2309" width="13.140625" style="1286" customWidth="1"/>
    <col min="2310" max="2310" width="17.42578125" style="1286" customWidth="1"/>
    <col min="2311" max="2560" width="9.140625" style="1286"/>
    <col min="2561" max="2561" width="6.85546875" style="1286" customWidth="1"/>
    <col min="2562" max="2562" width="39.5703125" style="1286" customWidth="1"/>
    <col min="2563" max="2564" width="10.7109375" style="1286" customWidth="1"/>
    <col min="2565" max="2565" width="13.140625" style="1286" customWidth="1"/>
    <col min="2566" max="2566" width="17.42578125" style="1286" customWidth="1"/>
    <col min="2567" max="2816" width="9.140625" style="1286"/>
    <col min="2817" max="2817" width="6.85546875" style="1286" customWidth="1"/>
    <col min="2818" max="2818" width="39.5703125" style="1286" customWidth="1"/>
    <col min="2819" max="2820" width="10.7109375" style="1286" customWidth="1"/>
    <col min="2821" max="2821" width="13.140625" style="1286" customWidth="1"/>
    <col min="2822" max="2822" width="17.42578125" style="1286" customWidth="1"/>
    <col min="2823" max="3072" width="9.140625" style="1286"/>
    <col min="3073" max="3073" width="6.85546875" style="1286" customWidth="1"/>
    <col min="3074" max="3074" width="39.5703125" style="1286" customWidth="1"/>
    <col min="3075" max="3076" width="10.7109375" style="1286" customWidth="1"/>
    <col min="3077" max="3077" width="13.140625" style="1286" customWidth="1"/>
    <col min="3078" max="3078" width="17.42578125" style="1286" customWidth="1"/>
    <col min="3079" max="3328" width="9.140625" style="1286"/>
    <col min="3329" max="3329" width="6.85546875" style="1286" customWidth="1"/>
    <col min="3330" max="3330" width="39.5703125" style="1286" customWidth="1"/>
    <col min="3331" max="3332" width="10.7109375" style="1286" customWidth="1"/>
    <col min="3333" max="3333" width="13.140625" style="1286" customWidth="1"/>
    <col min="3334" max="3334" width="17.42578125" style="1286" customWidth="1"/>
    <col min="3335" max="3584" width="9.140625" style="1286"/>
    <col min="3585" max="3585" width="6.85546875" style="1286" customWidth="1"/>
    <col min="3586" max="3586" width="39.5703125" style="1286" customWidth="1"/>
    <col min="3587" max="3588" width="10.7109375" style="1286" customWidth="1"/>
    <col min="3589" max="3589" width="13.140625" style="1286" customWidth="1"/>
    <col min="3590" max="3590" width="17.42578125" style="1286" customWidth="1"/>
    <col min="3591" max="3840" width="9.140625" style="1286"/>
    <col min="3841" max="3841" width="6.85546875" style="1286" customWidth="1"/>
    <col min="3842" max="3842" width="39.5703125" style="1286" customWidth="1"/>
    <col min="3843" max="3844" width="10.7109375" style="1286" customWidth="1"/>
    <col min="3845" max="3845" width="13.140625" style="1286" customWidth="1"/>
    <col min="3846" max="3846" width="17.42578125" style="1286" customWidth="1"/>
    <col min="3847" max="4096" width="9.140625" style="1286"/>
    <col min="4097" max="4097" width="6.85546875" style="1286" customWidth="1"/>
    <col min="4098" max="4098" width="39.5703125" style="1286" customWidth="1"/>
    <col min="4099" max="4100" width="10.7109375" style="1286" customWidth="1"/>
    <col min="4101" max="4101" width="13.140625" style="1286" customWidth="1"/>
    <col min="4102" max="4102" width="17.42578125" style="1286" customWidth="1"/>
    <col min="4103" max="4352" width="9.140625" style="1286"/>
    <col min="4353" max="4353" width="6.85546875" style="1286" customWidth="1"/>
    <col min="4354" max="4354" width="39.5703125" style="1286" customWidth="1"/>
    <col min="4355" max="4356" width="10.7109375" style="1286" customWidth="1"/>
    <col min="4357" max="4357" width="13.140625" style="1286" customWidth="1"/>
    <col min="4358" max="4358" width="17.42578125" style="1286" customWidth="1"/>
    <col min="4359" max="4608" width="9.140625" style="1286"/>
    <col min="4609" max="4609" width="6.85546875" style="1286" customWidth="1"/>
    <col min="4610" max="4610" width="39.5703125" style="1286" customWidth="1"/>
    <col min="4611" max="4612" width="10.7109375" style="1286" customWidth="1"/>
    <col min="4613" max="4613" width="13.140625" style="1286" customWidth="1"/>
    <col min="4614" max="4614" width="17.42578125" style="1286" customWidth="1"/>
    <col min="4615" max="4864" width="9.140625" style="1286"/>
    <col min="4865" max="4865" width="6.85546875" style="1286" customWidth="1"/>
    <col min="4866" max="4866" width="39.5703125" style="1286" customWidth="1"/>
    <col min="4867" max="4868" width="10.7109375" style="1286" customWidth="1"/>
    <col min="4869" max="4869" width="13.140625" style="1286" customWidth="1"/>
    <col min="4870" max="4870" width="17.42578125" style="1286" customWidth="1"/>
    <col min="4871" max="5120" width="9.140625" style="1286"/>
    <col min="5121" max="5121" width="6.85546875" style="1286" customWidth="1"/>
    <col min="5122" max="5122" width="39.5703125" style="1286" customWidth="1"/>
    <col min="5123" max="5124" width="10.7109375" style="1286" customWidth="1"/>
    <col min="5125" max="5125" width="13.140625" style="1286" customWidth="1"/>
    <col min="5126" max="5126" width="17.42578125" style="1286" customWidth="1"/>
    <col min="5127" max="5376" width="9.140625" style="1286"/>
    <col min="5377" max="5377" width="6.85546875" style="1286" customWidth="1"/>
    <col min="5378" max="5378" width="39.5703125" style="1286" customWidth="1"/>
    <col min="5379" max="5380" width="10.7109375" style="1286" customWidth="1"/>
    <col min="5381" max="5381" width="13.140625" style="1286" customWidth="1"/>
    <col min="5382" max="5382" width="17.42578125" style="1286" customWidth="1"/>
    <col min="5383" max="5632" width="9.140625" style="1286"/>
    <col min="5633" max="5633" width="6.85546875" style="1286" customWidth="1"/>
    <col min="5634" max="5634" width="39.5703125" style="1286" customWidth="1"/>
    <col min="5635" max="5636" width="10.7109375" style="1286" customWidth="1"/>
    <col min="5637" max="5637" width="13.140625" style="1286" customWidth="1"/>
    <col min="5638" max="5638" width="17.42578125" style="1286" customWidth="1"/>
    <col min="5639" max="5888" width="9.140625" style="1286"/>
    <col min="5889" max="5889" width="6.85546875" style="1286" customWidth="1"/>
    <col min="5890" max="5890" width="39.5703125" style="1286" customWidth="1"/>
    <col min="5891" max="5892" width="10.7109375" style="1286" customWidth="1"/>
    <col min="5893" max="5893" width="13.140625" style="1286" customWidth="1"/>
    <col min="5894" max="5894" width="17.42578125" style="1286" customWidth="1"/>
    <col min="5895" max="6144" width="9.140625" style="1286"/>
    <col min="6145" max="6145" width="6.85546875" style="1286" customWidth="1"/>
    <col min="6146" max="6146" width="39.5703125" style="1286" customWidth="1"/>
    <col min="6147" max="6148" width="10.7109375" style="1286" customWidth="1"/>
    <col min="6149" max="6149" width="13.140625" style="1286" customWidth="1"/>
    <col min="6150" max="6150" width="17.42578125" style="1286" customWidth="1"/>
    <col min="6151" max="6400" width="9.140625" style="1286"/>
    <col min="6401" max="6401" width="6.85546875" style="1286" customWidth="1"/>
    <col min="6402" max="6402" width="39.5703125" style="1286" customWidth="1"/>
    <col min="6403" max="6404" width="10.7109375" style="1286" customWidth="1"/>
    <col min="6405" max="6405" width="13.140625" style="1286" customWidth="1"/>
    <col min="6406" max="6406" width="17.42578125" style="1286" customWidth="1"/>
    <col min="6407" max="6656" width="9.140625" style="1286"/>
    <col min="6657" max="6657" width="6.85546875" style="1286" customWidth="1"/>
    <col min="6658" max="6658" width="39.5703125" style="1286" customWidth="1"/>
    <col min="6659" max="6660" width="10.7109375" style="1286" customWidth="1"/>
    <col min="6661" max="6661" width="13.140625" style="1286" customWidth="1"/>
    <col min="6662" max="6662" width="17.42578125" style="1286" customWidth="1"/>
    <col min="6663" max="6912" width="9.140625" style="1286"/>
    <col min="6913" max="6913" width="6.85546875" style="1286" customWidth="1"/>
    <col min="6914" max="6914" width="39.5703125" style="1286" customWidth="1"/>
    <col min="6915" max="6916" width="10.7109375" style="1286" customWidth="1"/>
    <col min="6917" max="6917" width="13.140625" style="1286" customWidth="1"/>
    <col min="6918" max="6918" width="17.42578125" style="1286" customWidth="1"/>
    <col min="6919" max="7168" width="9.140625" style="1286"/>
    <col min="7169" max="7169" width="6.85546875" style="1286" customWidth="1"/>
    <col min="7170" max="7170" width="39.5703125" style="1286" customWidth="1"/>
    <col min="7171" max="7172" width="10.7109375" style="1286" customWidth="1"/>
    <col min="7173" max="7173" width="13.140625" style="1286" customWidth="1"/>
    <col min="7174" max="7174" width="17.42578125" style="1286" customWidth="1"/>
    <col min="7175" max="7424" width="9.140625" style="1286"/>
    <col min="7425" max="7425" width="6.85546875" style="1286" customWidth="1"/>
    <col min="7426" max="7426" width="39.5703125" style="1286" customWidth="1"/>
    <col min="7427" max="7428" width="10.7109375" style="1286" customWidth="1"/>
    <col min="7429" max="7429" width="13.140625" style="1286" customWidth="1"/>
    <col min="7430" max="7430" width="17.42578125" style="1286" customWidth="1"/>
    <col min="7431" max="7680" width="9.140625" style="1286"/>
    <col min="7681" max="7681" width="6.85546875" style="1286" customWidth="1"/>
    <col min="7682" max="7682" width="39.5703125" style="1286" customWidth="1"/>
    <col min="7683" max="7684" width="10.7109375" style="1286" customWidth="1"/>
    <col min="7685" max="7685" width="13.140625" style="1286" customWidth="1"/>
    <col min="7686" max="7686" width="17.42578125" style="1286" customWidth="1"/>
    <col min="7687" max="7936" width="9.140625" style="1286"/>
    <col min="7937" max="7937" width="6.85546875" style="1286" customWidth="1"/>
    <col min="7938" max="7938" width="39.5703125" style="1286" customWidth="1"/>
    <col min="7939" max="7940" width="10.7109375" style="1286" customWidth="1"/>
    <col min="7941" max="7941" width="13.140625" style="1286" customWidth="1"/>
    <col min="7942" max="7942" width="17.42578125" style="1286" customWidth="1"/>
    <col min="7943" max="8192" width="9.140625" style="1286"/>
    <col min="8193" max="8193" width="6.85546875" style="1286" customWidth="1"/>
    <col min="8194" max="8194" width="39.5703125" style="1286" customWidth="1"/>
    <col min="8195" max="8196" width="10.7109375" style="1286" customWidth="1"/>
    <col min="8197" max="8197" width="13.140625" style="1286" customWidth="1"/>
    <col min="8198" max="8198" width="17.42578125" style="1286" customWidth="1"/>
    <col min="8199" max="8448" width="9.140625" style="1286"/>
    <col min="8449" max="8449" width="6.85546875" style="1286" customWidth="1"/>
    <col min="8450" max="8450" width="39.5703125" style="1286" customWidth="1"/>
    <col min="8451" max="8452" width="10.7109375" style="1286" customWidth="1"/>
    <col min="8453" max="8453" width="13.140625" style="1286" customWidth="1"/>
    <col min="8454" max="8454" width="17.42578125" style="1286" customWidth="1"/>
    <col min="8455" max="8704" width="9.140625" style="1286"/>
    <col min="8705" max="8705" width="6.85546875" style="1286" customWidth="1"/>
    <col min="8706" max="8706" width="39.5703125" style="1286" customWidth="1"/>
    <col min="8707" max="8708" width="10.7109375" style="1286" customWidth="1"/>
    <col min="8709" max="8709" width="13.140625" style="1286" customWidth="1"/>
    <col min="8710" max="8710" width="17.42578125" style="1286" customWidth="1"/>
    <col min="8711" max="8960" width="9.140625" style="1286"/>
    <col min="8961" max="8961" width="6.85546875" style="1286" customWidth="1"/>
    <col min="8962" max="8962" width="39.5703125" style="1286" customWidth="1"/>
    <col min="8963" max="8964" width="10.7109375" style="1286" customWidth="1"/>
    <col min="8965" max="8965" width="13.140625" style="1286" customWidth="1"/>
    <col min="8966" max="8966" width="17.42578125" style="1286" customWidth="1"/>
    <col min="8967" max="9216" width="9.140625" style="1286"/>
    <col min="9217" max="9217" width="6.85546875" style="1286" customWidth="1"/>
    <col min="9218" max="9218" width="39.5703125" style="1286" customWidth="1"/>
    <col min="9219" max="9220" width="10.7109375" style="1286" customWidth="1"/>
    <col min="9221" max="9221" width="13.140625" style="1286" customWidth="1"/>
    <col min="9222" max="9222" width="17.42578125" style="1286" customWidth="1"/>
    <col min="9223" max="9472" width="9.140625" style="1286"/>
    <col min="9473" max="9473" width="6.85546875" style="1286" customWidth="1"/>
    <col min="9474" max="9474" width="39.5703125" style="1286" customWidth="1"/>
    <col min="9475" max="9476" width="10.7109375" style="1286" customWidth="1"/>
    <col min="9477" max="9477" width="13.140625" style="1286" customWidth="1"/>
    <col min="9478" max="9478" width="17.42578125" style="1286" customWidth="1"/>
    <col min="9479" max="9728" width="9.140625" style="1286"/>
    <col min="9729" max="9729" width="6.85546875" style="1286" customWidth="1"/>
    <col min="9730" max="9730" width="39.5703125" style="1286" customWidth="1"/>
    <col min="9731" max="9732" width="10.7109375" style="1286" customWidth="1"/>
    <col min="9733" max="9733" width="13.140625" style="1286" customWidth="1"/>
    <col min="9734" max="9734" width="17.42578125" style="1286" customWidth="1"/>
    <col min="9735" max="9984" width="9.140625" style="1286"/>
    <col min="9985" max="9985" width="6.85546875" style="1286" customWidth="1"/>
    <col min="9986" max="9986" width="39.5703125" style="1286" customWidth="1"/>
    <col min="9987" max="9988" width="10.7109375" style="1286" customWidth="1"/>
    <col min="9989" max="9989" width="13.140625" style="1286" customWidth="1"/>
    <col min="9990" max="9990" width="17.42578125" style="1286" customWidth="1"/>
    <col min="9991" max="10240" width="9.140625" style="1286"/>
    <col min="10241" max="10241" width="6.85546875" style="1286" customWidth="1"/>
    <col min="10242" max="10242" width="39.5703125" style="1286" customWidth="1"/>
    <col min="10243" max="10244" width="10.7109375" style="1286" customWidth="1"/>
    <col min="10245" max="10245" width="13.140625" style="1286" customWidth="1"/>
    <col min="10246" max="10246" width="17.42578125" style="1286" customWidth="1"/>
    <col min="10247" max="10496" width="9.140625" style="1286"/>
    <col min="10497" max="10497" width="6.85546875" style="1286" customWidth="1"/>
    <col min="10498" max="10498" width="39.5703125" style="1286" customWidth="1"/>
    <col min="10499" max="10500" width="10.7109375" style="1286" customWidth="1"/>
    <col min="10501" max="10501" width="13.140625" style="1286" customWidth="1"/>
    <col min="10502" max="10502" width="17.42578125" style="1286" customWidth="1"/>
    <col min="10503" max="10752" width="9.140625" style="1286"/>
    <col min="10753" max="10753" width="6.85546875" style="1286" customWidth="1"/>
    <col min="10754" max="10754" width="39.5703125" style="1286" customWidth="1"/>
    <col min="10755" max="10756" width="10.7109375" style="1286" customWidth="1"/>
    <col min="10757" max="10757" width="13.140625" style="1286" customWidth="1"/>
    <col min="10758" max="10758" width="17.42578125" style="1286" customWidth="1"/>
    <col min="10759" max="11008" width="9.140625" style="1286"/>
    <col min="11009" max="11009" width="6.85546875" style="1286" customWidth="1"/>
    <col min="11010" max="11010" width="39.5703125" style="1286" customWidth="1"/>
    <col min="11011" max="11012" width="10.7109375" style="1286" customWidth="1"/>
    <col min="11013" max="11013" width="13.140625" style="1286" customWidth="1"/>
    <col min="11014" max="11014" width="17.42578125" style="1286" customWidth="1"/>
    <col min="11015" max="11264" width="9.140625" style="1286"/>
    <col min="11265" max="11265" width="6.85546875" style="1286" customWidth="1"/>
    <col min="11266" max="11266" width="39.5703125" style="1286" customWidth="1"/>
    <col min="11267" max="11268" width="10.7109375" style="1286" customWidth="1"/>
    <col min="11269" max="11269" width="13.140625" style="1286" customWidth="1"/>
    <col min="11270" max="11270" width="17.42578125" style="1286" customWidth="1"/>
    <col min="11271" max="11520" width="9.140625" style="1286"/>
    <col min="11521" max="11521" width="6.85546875" style="1286" customWidth="1"/>
    <col min="11522" max="11522" width="39.5703125" style="1286" customWidth="1"/>
    <col min="11523" max="11524" width="10.7109375" style="1286" customWidth="1"/>
    <col min="11525" max="11525" width="13.140625" style="1286" customWidth="1"/>
    <col min="11526" max="11526" width="17.42578125" style="1286" customWidth="1"/>
    <col min="11527" max="11776" width="9.140625" style="1286"/>
    <col min="11777" max="11777" width="6.85546875" style="1286" customWidth="1"/>
    <col min="11778" max="11778" width="39.5703125" style="1286" customWidth="1"/>
    <col min="11779" max="11780" width="10.7109375" style="1286" customWidth="1"/>
    <col min="11781" max="11781" width="13.140625" style="1286" customWidth="1"/>
    <col min="11782" max="11782" width="17.42578125" style="1286" customWidth="1"/>
    <col min="11783" max="12032" width="9.140625" style="1286"/>
    <col min="12033" max="12033" width="6.85546875" style="1286" customWidth="1"/>
    <col min="12034" max="12034" width="39.5703125" style="1286" customWidth="1"/>
    <col min="12035" max="12036" width="10.7109375" style="1286" customWidth="1"/>
    <col min="12037" max="12037" width="13.140625" style="1286" customWidth="1"/>
    <col min="12038" max="12038" width="17.42578125" style="1286" customWidth="1"/>
    <col min="12039" max="12288" width="9.140625" style="1286"/>
    <col min="12289" max="12289" width="6.85546875" style="1286" customWidth="1"/>
    <col min="12290" max="12290" width="39.5703125" style="1286" customWidth="1"/>
    <col min="12291" max="12292" width="10.7109375" style="1286" customWidth="1"/>
    <col min="12293" max="12293" width="13.140625" style="1286" customWidth="1"/>
    <col min="12294" max="12294" width="17.42578125" style="1286" customWidth="1"/>
    <col min="12295" max="12544" width="9.140625" style="1286"/>
    <col min="12545" max="12545" width="6.85546875" style="1286" customWidth="1"/>
    <col min="12546" max="12546" width="39.5703125" style="1286" customWidth="1"/>
    <col min="12547" max="12548" width="10.7109375" style="1286" customWidth="1"/>
    <col min="12549" max="12549" width="13.140625" style="1286" customWidth="1"/>
    <col min="12550" max="12550" width="17.42578125" style="1286" customWidth="1"/>
    <col min="12551" max="12800" width="9.140625" style="1286"/>
    <col min="12801" max="12801" width="6.85546875" style="1286" customWidth="1"/>
    <col min="12802" max="12802" width="39.5703125" style="1286" customWidth="1"/>
    <col min="12803" max="12804" width="10.7109375" style="1286" customWidth="1"/>
    <col min="12805" max="12805" width="13.140625" style="1286" customWidth="1"/>
    <col min="12806" max="12806" width="17.42578125" style="1286" customWidth="1"/>
    <col min="12807" max="13056" width="9.140625" style="1286"/>
    <col min="13057" max="13057" width="6.85546875" style="1286" customWidth="1"/>
    <col min="13058" max="13058" width="39.5703125" style="1286" customWidth="1"/>
    <col min="13059" max="13060" width="10.7109375" style="1286" customWidth="1"/>
    <col min="13061" max="13061" width="13.140625" style="1286" customWidth="1"/>
    <col min="13062" max="13062" width="17.42578125" style="1286" customWidth="1"/>
    <col min="13063" max="13312" width="9.140625" style="1286"/>
    <col min="13313" max="13313" width="6.85546875" style="1286" customWidth="1"/>
    <col min="13314" max="13314" width="39.5703125" style="1286" customWidth="1"/>
    <col min="13315" max="13316" width="10.7109375" style="1286" customWidth="1"/>
    <col min="13317" max="13317" width="13.140625" style="1286" customWidth="1"/>
    <col min="13318" max="13318" width="17.42578125" style="1286" customWidth="1"/>
    <col min="13319" max="13568" width="9.140625" style="1286"/>
    <col min="13569" max="13569" width="6.85546875" style="1286" customWidth="1"/>
    <col min="13570" max="13570" width="39.5703125" style="1286" customWidth="1"/>
    <col min="13571" max="13572" width="10.7109375" style="1286" customWidth="1"/>
    <col min="13573" max="13573" width="13.140625" style="1286" customWidth="1"/>
    <col min="13574" max="13574" width="17.42578125" style="1286" customWidth="1"/>
    <col min="13575" max="13824" width="9.140625" style="1286"/>
    <col min="13825" max="13825" width="6.85546875" style="1286" customWidth="1"/>
    <col min="13826" max="13826" width="39.5703125" style="1286" customWidth="1"/>
    <col min="13827" max="13828" width="10.7109375" style="1286" customWidth="1"/>
    <col min="13829" max="13829" width="13.140625" style="1286" customWidth="1"/>
    <col min="13830" max="13830" width="17.42578125" style="1286" customWidth="1"/>
    <col min="13831" max="14080" width="9.140625" style="1286"/>
    <col min="14081" max="14081" width="6.85546875" style="1286" customWidth="1"/>
    <col min="14082" max="14082" width="39.5703125" style="1286" customWidth="1"/>
    <col min="14083" max="14084" width="10.7109375" style="1286" customWidth="1"/>
    <col min="14085" max="14085" width="13.140625" style="1286" customWidth="1"/>
    <col min="14086" max="14086" width="17.42578125" style="1286" customWidth="1"/>
    <col min="14087" max="14336" width="9.140625" style="1286"/>
    <col min="14337" max="14337" width="6.85546875" style="1286" customWidth="1"/>
    <col min="14338" max="14338" width="39.5703125" style="1286" customWidth="1"/>
    <col min="14339" max="14340" width="10.7109375" style="1286" customWidth="1"/>
    <col min="14341" max="14341" width="13.140625" style="1286" customWidth="1"/>
    <col min="14342" max="14342" width="17.42578125" style="1286" customWidth="1"/>
    <col min="14343" max="14592" width="9.140625" style="1286"/>
    <col min="14593" max="14593" width="6.85546875" style="1286" customWidth="1"/>
    <col min="14594" max="14594" width="39.5703125" style="1286" customWidth="1"/>
    <col min="14595" max="14596" width="10.7109375" style="1286" customWidth="1"/>
    <col min="14597" max="14597" width="13.140625" style="1286" customWidth="1"/>
    <col min="14598" max="14598" width="17.42578125" style="1286" customWidth="1"/>
    <col min="14599" max="14848" width="9.140625" style="1286"/>
    <col min="14849" max="14849" width="6.85546875" style="1286" customWidth="1"/>
    <col min="14850" max="14850" width="39.5703125" style="1286" customWidth="1"/>
    <col min="14851" max="14852" width="10.7109375" style="1286" customWidth="1"/>
    <col min="14853" max="14853" width="13.140625" style="1286" customWidth="1"/>
    <col min="14854" max="14854" width="17.42578125" style="1286" customWidth="1"/>
    <col min="14855" max="15104" width="9.140625" style="1286"/>
    <col min="15105" max="15105" width="6.85546875" style="1286" customWidth="1"/>
    <col min="15106" max="15106" width="39.5703125" style="1286" customWidth="1"/>
    <col min="15107" max="15108" width="10.7109375" style="1286" customWidth="1"/>
    <col min="15109" max="15109" width="13.140625" style="1286" customWidth="1"/>
    <col min="15110" max="15110" width="17.42578125" style="1286" customWidth="1"/>
    <col min="15111" max="15360" width="9.140625" style="1286"/>
    <col min="15361" max="15361" width="6.85546875" style="1286" customWidth="1"/>
    <col min="15362" max="15362" width="39.5703125" style="1286" customWidth="1"/>
    <col min="15363" max="15364" width="10.7109375" style="1286" customWidth="1"/>
    <col min="15365" max="15365" width="13.140625" style="1286" customWidth="1"/>
    <col min="15366" max="15366" width="17.42578125" style="1286" customWidth="1"/>
    <col min="15367" max="15616" width="9.140625" style="1286"/>
    <col min="15617" max="15617" width="6.85546875" style="1286" customWidth="1"/>
    <col min="15618" max="15618" width="39.5703125" style="1286" customWidth="1"/>
    <col min="15619" max="15620" width="10.7109375" style="1286" customWidth="1"/>
    <col min="15621" max="15621" width="13.140625" style="1286" customWidth="1"/>
    <col min="15622" max="15622" width="17.42578125" style="1286" customWidth="1"/>
    <col min="15623" max="15872" width="9.140625" style="1286"/>
    <col min="15873" max="15873" width="6.85546875" style="1286" customWidth="1"/>
    <col min="15874" max="15874" width="39.5703125" style="1286" customWidth="1"/>
    <col min="15875" max="15876" width="10.7109375" style="1286" customWidth="1"/>
    <col min="15877" max="15877" width="13.140625" style="1286" customWidth="1"/>
    <col min="15878" max="15878" width="17.42578125" style="1286" customWidth="1"/>
    <col min="15879" max="16128" width="9.140625" style="1286"/>
    <col min="16129" max="16129" width="6.85546875" style="1286" customWidth="1"/>
    <col min="16130" max="16130" width="39.5703125" style="1286" customWidth="1"/>
    <col min="16131" max="16132" width="10.7109375" style="1286" customWidth="1"/>
    <col min="16133" max="16133" width="13.140625" style="1286" customWidth="1"/>
    <col min="16134" max="16134" width="17.42578125" style="1286" customWidth="1"/>
    <col min="16135" max="16384" width="9.140625" style="1286"/>
  </cols>
  <sheetData>
    <row r="1" spans="1:8" ht="21" customHeight="1" x14ac:dyDescent="0.25">
      <c r="A1" s="1984" t="str">
        <f>'48N'!A1</f>
        <v>UBND PHƯỜNG ĐỨC XUÂN</v>
      </c>
      <c r="B1" s="1984"/>
      <c r="F1" s="1292" t="s">
        <v>696</v>
      </c>
    </row>
    <row r="2" spans="1:8" ht="23.25" customHeight="1" x14ac:dyDescent="0.25">
      <c r="A2" s="1757" t="s">
        <v>713</v>
      </c>
      <c r="B2" s="1757"/>
      <c r="C2" s="1757"/>
      <c r="D2" s="1757"/>
      <c r="E2" s="1757"/>
      <c r="F2" s="1757"/>
    </row>
    <row r="3" spans="1:8" ht="21.75" customHeight="1" x14ac:dyDescent="0.25">
      <c r="A3" s="1772" t="str">
        <f>'48N'!A4:F4</f>
        <v>(Kèm theo Tờ trình số    /TTr-KTHT&amp;ĐT ngày      /4/2026 của phòng KTHT&amp;ĐT phường Đức Xuân)</v>
      </c>
      <c r="B3" s="1772"/>
      <c r="C3" s="1772"/>
      <c r="D3" s="1772"/>
      <c r="E3" s="1772"/>
      <c r="F3" s="1772"/>
    </row>
    <row r="4" spans="1:8" ht="22.5" customHeight="1" x14ac:dyDescent="0.25">
      <c r="E4" s="1988" t="s">
        <v>563</v>
      </c>
      <c r="F4" s="1988"/>
    </row>
    <row r="5" spans="1:8" x14ac:dyDescent="0.25">
      <c r="A5" s="1989" t="s">
        <v>1</v>
      </c>
      <c r="B5" s="1989" t="s">
        <v>2</v>
      </c>
      <c r="C5" s="1989" t="s">
        <v>15</v>
      </c>
      <c r="D5" s="1861" t="s">
        <v>43</v>
      </c>
      <c r="E5" s="1863"/>
      <c r="F5" s="1989" t="s">
        <v>52</v>
      </c>
    </row>
    <row r="6" spans="1:8" s="1288" customFormat="1" ht="31.5" x14ac:dyDescent="0.25">
      <c r="A6" s="1990"/>
      <c r="B6" s="1990"/>
      <c r="C6" s="1990"/>
      <c r="D6" s="197" t="s">
        <v>711</v>
      </c>
      <c r="E6" s="197" t="s">
        <v>712</v>
      </c>
      <c r="F6" s="1990"/>
      <c r="H6" s="1401"/>
    </row>
    <row r="7" spans="1:8" s="1288" customFormat="1" ht="23.25" customHeight="1" x14ac:dyDescent="0.25">
      <c r="A7" s="1378"/>
      <c r="B7" s="1378" t="s">
        <v>15</v>
      </c>
      <c r="C7" s="1393">
        <f>C8+C19</f>
        <v>1746598.9670000002</v>
      </c>
      <c r="D7" s="1394">
        <f t="shared" ref="D7:E7" si="0">D8+D19</f>
        <v>134216.397</v>
      </c>
      <c r="E7" s="1393">
        <f t="shared" si="0"/>
        <v>1612382.57</v>
      </c>
      <c r="F7" s="1389"/>
    </row>
    <row r="8" spans="1:8" ht="22.5" customHeight="1" x14ac:dyDescent="0.25">
      <c r="A8" s="1378" t="s">
        <v>6</v>
      </c>
      <c r="B8" s="1080" t="s">
        <v>363</v>
      </c>
      <c r="C8" s="1393">
        <f>C9+C14</f>
        <v>460889.45800000004</v>
      </c>
      <c r="D8" s="1393">
        <f t="shared" ref="D8" si="1">D9+D14</f>
        <v>0</v>
      </c>
      <c r="E8" s="1393">
        <f>E9+E14</f>
        <v>460889.45800000004</v>
      </c>
      <c r="F8" s="1391"/>
      <c r="H8" s="1402"/>
    </row>
    <row r="9" spans="1:8" ht="53.25" customHeight="1" x14ac:dyDescent="0.25">
      <c r="A9" s="1378">
        <v>1</v>
      </c>
      <c r="B9" s="1080" t="s">
        <v>587</v>
      </c>
      <c r="C9" s="1086">
        <f>SUM(C10:C13)</f>
        <v>112004.84600000001</v>
      </c>
      <c r="D9" s="1086">
        <f>SUM(D10:D13)</f>
        <v>0</v>
      </c>
      <c r="E9" s="1086">
        <f>SUM(E10:E13)</f>
        <v>112004.84600000001</v>
      </c>
      <c r="F9" s="1391"/>
    </row>
    <row r="10" spans="1:8" ht="48.75" customHeight="1" x14ac:dyDescent="0.25">
      <c r="A10" s="1293"/>
      <c r="B10" s="1055" t="s">
        <v>588</v>
      </c>
      <c r="C10" s="1395">
        <f t="shared" ref="C10:C36" si="2">D10+E10</f>
        <v>81000</v>
      </c>
      <c r="D10" s="1390"/>
      <c r="E10" s="1392">
        <v>81000</v>
      </c>
      <c r="F10" s="1391"/>
    </row>
    <row r="11" spans="1:8" ht="34.5" customHeight="1" x14ac:dyDescent="0.25">
      <c r="A11" s="1293"/>
      <c r="B11" s="1066" t="s">
        <v>591</v>
      </c>
      <c r="C11" s="1395">
        <f t="shared" si="2"/>
        <v>7000</v>
      </c>
      <c r="D11" s="1390"/>
      <c r="E11" s="1392">
        <v>7000</v>
      </c>
      <c r="F11" s="1391"/>
    </row>
    <row r="12" spans="1:8" ht="142.5" customHeight="1" x14ac:dyDescent="0.25">
      <c r="A12" s="1293"/>
      <c r="B12" s="1068" t="s">
        <v>468</v>
      </c>
      <c r="C12" s="1395">
        <f t="shared" si="2"/>
        <v>4.8460000000000001</v>
      </c>
      <c r="D12" s="1390"/>
      <c r="E12" s="1392">
        <v>4.8460000000000001</v>
      </c>
      <c r="F12" s="1391"/>
    </row>
    <row r="13" spans="1:8" ht="53.25" customHeight="1" x14ac:dyDescent="0.25">
      <c r="A13" s="1293"/>
      <c r="B13" s="1068" t="s">
        <v>594</v>
      </c>
      <c r="C13" s="1395">
        <f t="shared" si="2"/>
        <v>24000</v>
      </c>
      <c r="D13" s="1390"/>
      <c r="E13" s="1392">
        <v>24000</v>
      </c>
      <c r="F13" s="1391"/>
    </row>
    <row r="14" spans="1:8" ht="39" customHeight="1" x14ac:dyDescent="0.25">
      <c r="A14" s="1378">
        <v>2</v>
      </c>
      <c r="B14" s="1080" t="s">
        <v>589</v>
      </c>
      <c r="C14" s="1086">
        <f t="shared" ref="C14" si="3">SUM(C15:C18)</f>
        <v>348884.61200000002</v>
      </c>
      <c r="D14" s="1086">
        <f t="shared" ref="D14" si="4">SUM(D15:D18)</f>
        <v>0</v>
      </c>
      <c r="E14" s="1086">
        <f t="shared" ref="E14" si="5">SUM(E15:E18)</f>
        <v>348884.61200000002</v>
      </c>
      <c r="F14" s="1391"/>
    </row>
    <row r="15" spans="1:8" ht="35.25" customHeight="1" x14ac:dyDescent="0.25">
      <c r="A15" s="1293"/>
      <c r="B15" s="1055" t="s">
        <v>475</v>
      </c>
      <c r="C15" s="1395">
        <f t="shared" si="2"/>
        <v>10400</v>
      </c>
      <c r="D15" s="1390"/>
      <c r="E15" s="1078">
        <v>10400</v>
      </c>
      <c r="F15" s="1391"/>
    </row>
    <row r="16" spans="1:8" ht="21.75" customHeight="1" x14ac:dyDescent="0.25">
      <c r="A16" s="1293"/>
      <c r="B16" s="1055" t="s">
        <v>590</v>
      </c>
      <c r="C16" s="1395">
        <f t="shared" si="2"/>
        <v>38483.5</v>
      </c>
      <c r="D16" s="1390"/>
      <c r="E16" s="1078">
        <v>38483.5</v>
      </c>
      <c r="F16" s="1391"/>
    </row>
    <row r="17" spans="1:6" ht="35.25" customHeight="1" x14ac:dyDescent="0.25">
      <c r="A17" s="1293"/>
      <c r="B17" s="1054" t="s">
        <v>592</v>
      </c>
      <c r="C17" s="1395">
        <f t="shared" si="2"/>
        <v>1.1120000000000001</v>
      </c>
      <c r="D17" s="1390"/>
      <c r="E17" s="1078">
        <v>1.1120000000000001</v>
      </c>
      <c r="F17" s="1391"/>
    </row>
    <row r="18" spans="1:6" ht="34.5" customHeight="1" x14ac:dyDescent="0.25">
      <c r="A18" s="1293"/>
      <c r="B18" s="1076" t="s">
        <v>595</v>
      </c>
      <c r="C18" s="1395">
        <f t="shared" si="2"/>
        <v>300000</v>
      </c>
      <c r="D18" s="1390"/>
      <c r="E18" s="1078">
        <v>300000</v>
      </c>
      <c r="F18" s="1391"/>
    </row>
    <row r="19" spans="1:6" ht="21" customHeight="1" x14ac:dyDescent="0.25">
      <c r="A19" s="1378" t="s">
        <v>12</v>
      </c>
      <c r="B19" s="1080" t="s">
        <v>364</v>
      </c>
      <c r="C19" s="1393">
        <f>C20+C25+C28+C32+C36</f>
        <v>1285709.5090000001</v>
      </c>
      <c r="D19" s="1393">
        <f>D20+D25+D28+D32+D36</f>
        <v>134216.397</v>
      </c>
      <c r="E19" s="1393">
        <f>E20+E25+E28+E32+E36</f>
        <v>1151493.112</v>
      </c>
      <c r="F19" s="1391"/>
    </row>
    <row r="20" spans="1:6" ht="21" customHeight="1" x14ac:dyDescent="0.25">
      <c r="A20" s="1378">
        <v>1</v>
      </c>
      <c r="B20" s="1080" t="s">
        <v>774</v>
      </c>
      <c r="C20" s="1393">
        <f>SUM(C21:C24)</f>
        <v>112181.292</v>
      </c>
      <c r="D20" s="1393">
        <f>SUM(D21:D24)</f>
        <v>112181.292</v>
      </c>
      <c r="E20" s="1393">
        <f t="shared" ref="E20" si="6">SUM(E21:E23)</f>
        <v>0</v>
      </c>
      <c r="F20" s="1391"/>
    </row>
    <row r="21" spans="1:6" ht="35.25" customHeight="1" x14ac:dyDescent="0.25">
      <c r="A21" s="1293"/>
      <c r="B21" s="1082" t="s">
        <v>430</v>
      </c>
      <c r="C21" s="1396">
        <f t="shared" si="2"/>
        <v>32124.5</v>
      </c>
      <c r="D21" s="1388">
        <v>32124.5</v>
      </c>
      <c r="E21" s="1390"/>
      <c r="F21" s="1391"/>
    </row>
    <row r="22" spans="1:6" ht="36" customHeight="1" x14ac:dyDescent="0.25">
      <c r="A22" s="1293"/>
      <c r="B22" s="1082" t="s">
        <v>436</v>
      </c>
      <c r="C22" s="1396">
        <f t="shared" si="2"/>
        <v>343.79199999999997</v>
      </c>
      <c r="D22" s="1388">
        <v>343.79199999999997</v>
      </c>
      <c r="E22" s="1390"/>
      <c r="F22" s="1391"/>
    </row>
    <row r="23" spans="1:6" ht="51.75" customHeight="1" x14ac:dyDescent="0.25">
      <c r="A23" s="1293"/>
      <c r="B23" s="1082" t="s">
        <v>773</v>
      </c>
      <c r="C23" s="1396">
        <f t="shared" si="2"/>
        <v>183</v>
      </c>
      <c r="D23" s="1388">
        <v>183</v>
      </c>
      <c r="E23" s="1390"/>
      <c r="F23" s="1391"/>
    </row>
    <row r="24" spans="1:6" ht="38.25" customHeight="1" x14ac:dyDescent="0.25">
      <c r="A24" s="1387"/>
      <c r="B24" s="1082" t="s">
        <v>797</v>
      </c>
      <c r="C24" s="1396">
        <f t="shared" ref="C24" si="7">D24+E24</f>
        <v>79530</v>
      </c>
      <c r="D24" s="1388">
        <v>79530</v>
      </c>
      <c r="E24" s="1390"/>
      <c r="F24" s="1391"/>
    </row>
    <row r="25" spans="1:6" ht="51.75" customHeight="1" x14ac:dyDescent="0.25">
      <c r="A25" s="1378">
        <v>2</v>
      </c>
      <c r="B25" s="1080" t="s">
        <v>587</v>
      </c>
      <c r="C25" s="1086">
        <f t="shared" ref="C25:D25" si="8">C26+C27</f>
        <v>18035.105</v>
      </c>
      <c r="D25" s="1086">
        <f t="shared" si="8"/>
        <v>13035.105</v>
      </c>
      <c r="E25" s="1086">
        <f>E26+E27</f>
        <v>5000</v>
      </c>
      <c r="F25" s="1391"/>
    </row>
    <row r="26" spans="1:6" ht="48.75" customHeight="1" x14ac:dyDescent="0.25">
      <c r="A26" s="1293"/>
      <c r="B26" s="1055" t="s">
        <v>588</v>
      </c>
      <c r="C26" s="1396">
        <f t="shared" si="2"/>
        <v>17035.105</v>
      </c>
      <c r="D26" s="1390">
        <v>13035.105</v>
      </c>
      <c r="E26" s="1078">
        <v>4000</v>
      </c>
      <c r="F26" s="1391"/>
    </row>
    <row r="27" spans="1:6" ht="48.75" customHeight="1" x14ac:dyDescent="0.25">
      <c r="A27" s="1293"/>
      <c r="B27" s="1068" t="s">
        <v>594</v>
      </c>
      <c r="C27" s="1396">
        <f t="shared" si="2"/>
        <v>1000</v>
      </c>
      <c r="D27" s="1390"/>
      <c r="E27" s="1078">
        <v>1000</v>
      </c>
      <c r="F27" s="1391"/>
    </row>
    <row r="28" spans="1:6" ht="39.75" customHeight="1" x14ac:dyDescent="0.25">
      <c r="A28" s="1378">
        <v>3</v>
      </c>
      <c r="B28" s="1080" t="s">
        <v>589</v>
      </c>
      <c r="C28" s="1086">
        <f t="shared" ref="C28:D28" si="9">SUM(C29:C31)</f>
        <v>16000</v>
      </c>
      <c r="D28" s="1086">
        <f t="shared" si="9"/>
        <v>0</v>
      </c>
      <c r="E28" s="1086">
        <f>SUM(E29:E31)</f>
        <v>16000</v>
      </c>
      <c r="F28" s="1391"/>
    </row>
    <row r="29" spans="1:6" ht="33" customHeight="1" x14ac:dyDescent="0.25">
      <c r="A29" s="1293"/>
      <c r="B29" s="1055" t="s">
        <v>475</v>
      </c>
      <c r="C29" s="1396">
        <f t="shared" si="2"/>
        <v>4000</v>
      </c>
      <c r="D29" s="1390"/>
      <c r="E29" s="1078">
        <v>4000</v>
      </c>
      <c r="F29" s="1391"/>
    </row>
    <row r="30" spans="1:6" ht="24" customHeight="1" x14ac:dyDescent="0.25">
      <c r="A30" s="1293"/>
      <c r="B30" s="1055" t="s">
        <v>590</v>
      </c>
      <c r="C30" s="1396">
        <f t="shared" si="2"/>
        <v>2000</v>
      </c>
      <c r="D30" s="1390"/>
      <c r="E30" s="1078">
        <v>2000</v>
      </c>
      <c r="F30" s="1391"/>
    </row>
    <row r="31" spans="1:6" ht="34.5" customHeight="1" x14ac:dyDescent="0.25">
      <c r="A31" s="1293"/>
      <c r="B31" s="1076" t="s">
        <v>595</v>
      </c>
      <c r="C31" s="1396">
        <f t="shared" si="2"/>
        <v>10000</v>
      </c>
      <c r="D31" s="1390"/>
      <c r="E31" s="1078">
        <v>10000</v>
      </c>
      <c r="F31" s="1391"/>
    </row>
    <row r="32" spans="1:6" ht="23.25" customHeight="1" x14ac:dyDescent="0.25">
      <c r="A32" s="1378">
        <v>4</v>
      </c>
      <c r="B32" s="785" t="s">
        <v>307</v>
      </c>
      <c r="C32" s="1086">
        <f t="shared" ref="C32:D32" si="10">SUM(C33:C35)</f>
        <v>264526.3</v>
      </c>
      <c r="D32" s="1086">
        <f t="shared" si="10"/>
        <v>0</v>
      </c>
      <c r="E32" s="1086">
        <f>SUM(E33:E35)</f>
        <v>264526.3</v>
      </c>
      <c r="F32" s="1391"/>
    </row>
    <row r="33" spans="1:10" ht="36.75" customHeight="1" x14ac:dyDescent="0.25">
      <c r="A33" s="1293"/>
      <c r="B33" s="1082" t="s">
        <v>585</v>
      </c>
      <c r="C33" s="1396">
        <f t="shared" si="2"/>
        <v>59946.3</v>
      </c>
      <c r="D33" s="1390"/>
      <c r="E33" s="1078">
        <v>59946.3</v>
      </c>
      <c r="F33" s="1391"/>
    </row>
    <row r="34" spans="1:10" ht="34.5" customHeight="1" x14ac:dyDescent="0.25">
      <c r="A34" s="1293"/>
      <c r="B34" s="1087" t="s">
        <v>586</v>
      </c>
      <c r="C34" s="1396">
        <f t="shared" si="2"/>
        <v>200000</v>
      </c>
      <c r="D34" s="1390"/>
      <c r="E34" s="1088">
        <v>200000</v>
      </c>
      <c r="F34" s="1391"/>
    </row>
    <row r="35" spans="1:10" ht="25.5" customHeight="1" x14ac:dyDescent="0.25">
      <c r="A35" s="1293"/>
      <c r="B35" s="1087" t="s">
        <v>601</v>
      </c>
      <c r="C35" s="1396">
        <f t="shared" si="2"/>
        <v>4580</v>
      </c>
      <c r="D35" s="1390"/>
      <c r="E35" s="1088">
        <v>4580</v>
      </c>
      <c r="F35" s="1391"/>
    </row>
    <row r="36" spans="1:10" ht="47.25" x14ac:dyDescent="0.25">
      <c r="A36" s="1378">
        <v>5</v>
      </c>
      <c r="B36" s="1089" t="s">
        <v>598</v>
      </c>
      <c r="C36" s="1393">
        <f t="shared" si="2"/>
        <v>874966.81200000003</v>
      </c>
      <c r="D36" s="1732">
        <v>9000</v>
      </c>
      <c r="E36" s="1403">
        <f>874966.812-9000</f>
        <v>865966.81200000003</v>
      </c>
      <c r="F36" s="1391"/>
    </row>
    <row r="37" spans="1:10" x14ac:dyDescent="0.25">
      <c r="B37" s="1985"/>
      <c r="C37" s="1985"/>
      <c r="D37" s="1985"/>
      <c r="E37" s="1985"/>
      <c r="F37" s="1985"/>
    </row>
    <row r="38" spans="1:10" x14ac:dyDescent="0.25">
      <c r="B38" s="1289"/>
      <c r="C38" s="1986" t="s">
        <v>854</v>
      </c>
      <c r="D38" s="1986"/>
      <c r="E38" s="1986"/>
      <c r="F38" s="1986"/>
      <c r="G38" s="1290"/>
      <c r="H38" s="1290"/>
      <c r="I38" s="1290"/>
      <c r="J38" s="1290"/>
    </row>
    <row r="39" spans="1:10" x14ac:dyDescent="0.25">
      <c r="A39" s="1987"/>
      <c r="B39" s="1987"/>
      <c r="C39" s="1987" t="s">
        <v>775</v>
      </c>
      <c r="D39" s="1987"/>
      <c r="E39" s="1987"/>
      <c r="F39" s="1987"/>
      <c r="G39" s="1291"/>
      <c r="H39" s="1291"/>
      <c r="I39" s="1291"/>
      <c r="J39" s="1291"/>
    </row>
    <row r="40" spans="1:10" x14ac:dyDescent="0.25">
      <c r="C40" s="1772" t="s">
        <v>14</v>
      </c>
      <c r="D40" s="1772"/>
      <c r="E40" s="1772"/>
      <c r="F40" s="1772"/>
    </row>
    <row r="46" spans="1:10" x14ac:dyDescent="0.25">
      <c r="C46" s="1757" t="s">
        <v>460</v>
      </c>
      <c r="D46" s="1757"/>
      <c r="E46" s="1757"/>
      <c r="F46" s="1757"/>
    </row>
  </sheetData>
  <mergeCells count="15">
    <mergeCell ref="C46:F46"/>
    <mergeCell ref="A1:B1"/>
    <mergeCell ref="B37:F37"/>
    <mergeCell ref="C38:F38"/>
    <mergeCell ref="A39:B39"/>
    <mergeCell ref="C39:F39"/>
    <mergeCell ref="C40:F40"/>
    <mergeCell ref="A2:F2"/>
    <mergeCell ref="E4:F4"/>
    <mergeCell ref="A5:A6"/>
    <mergeCell ref="B5:B6"/>
    <mergeCell ref="C5:C6"/>
    <mergeCell ref="D5:E5"/>
    <mergeCell ref="F5:F6"/>
    <mergeCell ref="A3:F3"/>
  </mergeCells>
  <printOptions horizontalCentered="1"/>
  <pageMargins left="0.31" right="0.2" top="0.54" bottom="0.38" header="0.3" footer="0.3"/>
  <pageSetup paperSize="9" scale="90"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2"/>
  <sheetViews>
    <sheetView workbookViewId="0">
      <selection activeCell="R49" sqref="R49"/>
    </sheetView>
  </sheetViews>
  <sheetFormatPr defaultRowHeight="15.75" x14ac:dyDescent="0.25"/>
  <cols>
    <col min="1" max="1" width="5.5703125" style="1410" customWidth="1"/>
    <col min="2" max="2" width="46.5703125" style="1410" customWidth="1"/>
    <col min="3" max="3" width="15.28515625" style="350" customWidth="1"/>
    <col min="4" max="4" width="13.7109375" style="1410" customWidth="1"/>
    <col min="5" max="5" width="20.140625" style="1410" customWidth="1"/>
    <col min="6" max="6" width="13.5703125" style="1410" customWidth="1"/>
    <col min="7" max="7" width="13.42578125" style="1410" customWidth="1"/>
    <col min="8" max="8" width="10.5703125" style="1410" customWidth="1"/>
    <col min="9" max="9" width="10.85546875" style="1410" customWidth="1"/>
    <col min="10" max="10" width="19" style="1410" customWidth="1"/>
    <col min="11" max="254" width="9.140625" style="1410"/>
    <col min="255" max="255" width="6.85546875" style="1410" customWidth="1"/>
    <col min="256" max="256" width="11.5703125" style="1410" customWidth="1"/>
    <col min="257" max="257" width="12.140625" style="1410" customWidth="1"/>
    <col min="258" max="258" width="11" style="1410" customWidth="1"/>
    <col min="259" max="259" width="11.7109375" style="1410" customWidth="1"/>
    <col min="260" max="260" width="9.7109375" style="1410" customWidth="1"/>
    <col min="261" max="261" width="9.85546875" style="1410" customWidth="1"/>
    <col min="262" max="262" width="10.5703125" style="1410" customWidth="1"/>
    <col min="263" max="263" width="10.85546875" style="1410" customWidth="1"/>
    <col min="264" max="264" width="16.42578125" style="1410" customWidth="1"/>
    <col min="265" max="510" width="9.140625" style="1410"/>
    <col min="511" max="511" width="6.85546875" style="1410" customWidth="1"/>
    <col min="512" max="512" width="11.5703125" style="1410" customWidth="1"/>
    <col min="513" max="513" width="12.140625" style="1410" customWidth="1"/>
    <col min="514" max="514" width="11" style="1410" customWidth="1"/>
    <col min="515" max="515" width="11.7109375" style="1410" customWidth="1"/>
    <col min="516" max="516" width="9.7109375" style="1410" customWidth="1"/>
    <col min="517" max="517" width="9.85546875" style="1410" customWidth="1"/>
    <col min="518" max="518" width="10.5703125" style="1410" customWidth="1"/>
    <col min="519" max="519" width="10.85546875" style="1410" customWidth="1"/>
    <col min="520" max="520" width="16.42578125" style="1410" customWidth="1"/>
    <col min="521" max="766" width="9.140625" style="1410"/>
    <col min="767" max="767" width="6.85546875" style="1410" customWidth="1"/>
    <col min="768" max="768" width="11.5703125" style="1410" customWidth="1"/>
    <col min="769" max="769" width="12.140625" style="1410" customWidth="1"/>
    <col min="770" max="770" width="11" style="1410" customWidth="1"/>
    <col min="771" max="771" width="11.7109375" style="1410" customWidth="1"/>
    <col min="772" max="772" width="9.7109375" style="1410" customWidth="1"/>
    <col min="773" max="773" width="9.85546875" style="1410" customWidth="1"/>
    <col min="774" max="774" width="10.5703125" style="1410" customWidth="1"/>
    <col min="775" max="775" width="10.85546875" style="1410" customWidth="1"/>
    <col min="776" max="776" width="16.42578125" style="1410" customWidth="1"/>
    <col min="777" max="1022" width="9.140625" style="1410"/>
    <col min="1023" max="1023" width="6.85546875" style="1410" customWidth="1"/>
    <col min="1024" max="1024" width="11.5703125" style="1410" customWidth="1"/>
    <col min="1025" max="1025" width="12.140625" style="1410" customWidth="1"/>
    <col min="1026" max="1026" width="11" style="1410" customWidth="1"/>
    <col min="1027" max="1027" width="11.7109375" style="1410" customWidth="1"/>
    <col min="1028" max="1028" width="9.7109375" style="1410" customWidth="1"/>
    <col min="1029" max="1029" width="9.85546875" style="1410" customWidth="1"/>
    <col min="1030" max="1030" width="10.5703125" style="1410" customWidth="1"/>
    <col min="1031" max="1031" width="10.85546875" style="1410" customWidth="1"/>
    <col min="1032" max="1032" width="16.42578125" style="1410" customWidth="1"/>
    <col min="1033" max="1278" width="9.140625" style="1410"/>
    <col min="1279" max="1279" width="6.85546875" style="1410" customWidth="1"/>
    <col min="1280" max="1280" width="11.5703125" style="1410" customWidth="1"/>
    <col min="1281" max="1281" width="12.140625" style="1410" customWidth="1"/>
    <col min="1282" max="1282" width="11" style="1410" customWidth="1"/>
    <col min="1283" max="1283" width="11.7109375" style="1410" customWidth="1"/>
    <col min="1284" max="1284" width="9.7109375" style="1410" customWidth="1"/>
    <col min="1285" max="1285" width="9.85546875" style="1410" customWidth="1"/>
    <col min="1286" max="1286" width="10.5703125" style="1410" customWidth="1"/>
    <col min="1287" max="1287" width="10.85546875" style="1410" customWidth="1"/>
    <col min="1288" max="1288" width="16.42578125" style="1410" customWidth="1"/>
    <col min="1289" max="1534" width="9.140625" style="1410"/>
    <col min="1535" max="1535" width="6.85546875" style="1410" customWidth="1"/>
    <col min="1536" max="1536" width="11.5703125" style="1410" customWidth="1"/>
    <col min="1537" max="1537" width="12.140625" style="1410" customWidth="1"/>
    <col min="1538" max="1538" width="11" style="1410" customWidth="1"/>
    <col min="1539" max="1539" width="11.7109375" style="1410" customWidth="1"/>
    <col min="1540" max="1540" width="9.7109375" style="1410" customWidth="1"/>
    <col min="1541" max="1541" width="9.85546875" style="1410" customWidth="1"/>
    <col min="1542" max="1542" width="10.5703125" style="1410" customWidth="1"/>
    <col min="1543" max="1543" width="10.85546875" style="1410" customWidth="1"/>
    <col min="1544" max="1544" width="16.42578125" style="1410" customWidth="1"/>
    <col min="1545" max="1790" width="9.140625" style="1410"/>
    <col min="1791" max="1791" width="6.85546875" style="1410" customWidth="1"/>
    <col min="1792" max="1792" width="11.5703125" style="1410" customWidth="1"/>
    <col min="1793" max="1793" width="12.140625" style="1410" customWidth="1"/>
    <col min="1794" max="1794" width="11" style="1410" customWidth="1"/>
    <col min="1795" max="1795" width="11.7109375" style="1410" customWidth="1"/>
    <col min="1796" max="1796" width="9.7109375" style="1410" customWidth="1"/>
    <col min="1797" max="1797" width="9.85546875" style="1410" customWidth="1"/>
    <col min="1798" max="1798" width="10.5703125" style="1410" customWidth="1"/>
    <col min="1799" max="1799" width="10.85546875" style="1410" customWidth="1"/>
    <col min="1800" max="1800" width="16.42578125" style="1410" customWidth="1"/>
    <col min="1801" max="2046" width="9.140625" style="1410"/>
    <col min="2047" max="2047" width="6.85546875" style="1410" customWidth="1"/>
    <col min="2048" max="2048" width="11.5703125" style="1410" customWidth="1"/>
    <col min="2049" max="2049" width="12.140625" style="1410" customWidth="1"/>
    <col min="2050" max="2050" width="11" style="1410" customWidth="1"/>
    <col min="2051" max="2051" width="11.7109375" style="1410" customWidth="1"/>
    <col min="2052" max="2052" width="9.7109375" style="1410" customWidth="1"/>
    <col min="2053" max="2053" width="9.85546875" style="1410" customWidth="1"/>
    <col min="2054" max="2054" width="10.5703125" style="1410" customWidth="1"/>
    <col min="2055" max="2055" width="10.85546875" style="1410" customWidth="1"/>
    <col min="2056" max="2056" width="16.42578125" style="1410" customWidth="1"/>
    <col min="2057" max="2302" width="9.140625" style="1410"/>
    <col min="2303" max="2303" width="6.85546875" style="1410" customWidth="1"/>
    <col min="2304" max="2304" width="11.5703125" style="1410" customWidth="1"/>
    <col min="2305" max="2305" width="12.140625" style="1410" customWidth="1"/>
    <col min="2306" max="2306" width="11" style="1410" customWidth="1"/>
    <col min="2307" max="2307" width="11.7109375" style="1410" customWidth="1"/>
    <col min="2308" max="2308" width="9.7109375" style="1410" customWidth="1"/>
    <col min="2309" max="2309" width="9.85546875" style="1410" customWidth="1"/>
    <col min="2310" max="2310" width="10.5703125" style="1410" customWidth="1"/>
    <col min="2311" max="2311" width="10.85546875" style="1410" customWidth="1"/>
    <col min="2312" max="2312" width="16.42578125" style="1410" customWidth="1"/>
    <col min="2313" max="2558" width="9.140625" style="1410"/>
    <col min="2559" max="2559" width="6.85546875" style="1410" customWidth="1"/>
    <col min="2560" max="2560" width="11.5703125" style="1410" customWidth="1"/>
    <col min="2561" max="2561" width="12.140625" style="1410" customWidth="1"/>
    <col min="2562" max="2562" width="11" style="1410" customWidth="1"/>
    <col min="2563" max="2563" width="11.7109375" style="1410" customWidth="1"/>
    <col min="2564" max="2564" width="9.7109375" style="1410" customWidth="1"/>
    <col min="2565" max="2565" width="9.85546875" style="1410" customWidth="1"/>
    <col min="2566" max="2566" width="10.5703125" style="1410" customWidth="1"/>
    <col min="2567" max="2567" width="10.85546875" style="1410" customWidth="1"/>
    <col min="2568" max="2568" width="16.42578125" style="1410" customWidth="1"/>
    <col min="2569" max="2814" width="9.140625" style="1410"/>
    <col min="2815" max="2815" width="6.85546875" style="1410" customWidth="1"/>
    <col min="2816" max="2816" width="11.5703125" style="1410" customWidth="1"/>
    <col min="2817" max="2817" width="12.140625" style="1410" customWidth="1"/>
    <col min="2818" max="2818" width="11" style="1410" customWidth="1"/>
    <col min="2819" max="2819" width="11.7109375" style="1410" customWidth="1"/>
    <col min="2820" max="2820" width="9.7109375" style="1410" customWidth="1"/>
    <col min="2821" max="2821" width="9.85546875" style="1410" customWidth="1"/>
    <col min="2822" max="2822" width="10.5703125" style="1410" customWidth="1"/>
    <col min="2823" max="2823" width="10.85546875" style="1410" customWidth="1"/>
    <col min="2824" max="2824" width="16.42578125" style="1410" customWidth="1"/>
    <col min="2825" max="3070" width="9.140625" style="1410"/>
    <col min="3071" max="3071" width="6.85546875" style="1410" customWidth="1"/>
    <col min="3072" max="3072" width="11.5703125" style="1410" customWidth="1"/>
    <col min="3073" max="3073" width="12.140625" style="1410" customWidth="1"/>
    <col min="3074" max="3074" width="11" style="1410" customWidth="1"/>
    <col min="3075" max="3075" width="11.7109375" style="1410" customWidth="1"/>
    <col min="3076" max="3076" width="9.7109375" style="1410" customWidth="1"/>
    <col min="3077" max="3077" width="9.85546875" style="1410" customWidth="1"/>
    <col min="3078" max="3078" width="10.5703125" style="1410" customWidth="1"/>
    <col min="3079" max="3079" width="10.85546875" style="1410" customWidth="1"/>
    <col min="3080" max="3080" width="16.42578125" style="1410" customWidth="1"/>
    <col min="3081" max="3326" width="9.140625" style="1410"/>
    <col min="3327" max="3327" width="6.85546875" style="1410" customWidth="1"/>
    <col min="3328" max="3328" width="11.5703125" style="1410" customWidth="1"/>
    <col min="3329" max="3329" width="12.140625" style="1410" customWidth="1"/>
    <col min="3330" max="3330" width="11" style="1410" customWidth="1"/>
    <col min="3331" max="3331" width="11.7109375" style="1410" customWidth="1"/>
    <col min="3332" max="3332" width="9.7109375" style="1410" customWidth="1"/>
    <col min="3333" max="3333" width="9.85546875" style="1410" customWidth="1"/>
    <col min="3334" max="3334" width="10.5703125" style="1410" customWidth="1"/>
    <col min="3335" max="3335" width="10.85546875" style="1410" customWidth="1"/>
    <col min="3336" max="3336" width="16.42578125" style="1410" customWidth="1"/>
    <col min="3337" max="3582" width="9.140625" style="1410"/>
    <col min="3583" max="3583" width="6.85546875" style="1410" customWidth="1"/>
    <col min="3584" max="3584" width="11.5703125" style="1410" customWidth="1"/>
    <col min="3585" max="3585" width="12.140625" style="1410" customWidth="1"/>
    <col min="3586" max="3586" width="11" style="1410" customWidth="1"/>
    <col min="3587" max="3587" width="11.7109375" style="1410" customWidth="1"/>
    <col min="3588" max="3588" width="9.7109375" style="1410" customWidth="1"/>
    <col min="3589" max="3589" width="9.85546875" style="1410" customWidth="1"/>
    <col min="3590" max="3590" width="10.5703125" style="1410" customWidth="1"/>
    <col min="3591" max="3591" width="10.85546875" style="1410" customWidth="1"/>
    <col min="3592" max="3592" width="16.42578125" style="1410" customWidth="1"/>
    <col min="3593" max="3838" width="9.140625" style="1410"/>
    <col min="3839" max="3839" width="6.85546875" style="1410" customWidth="1"/>
    <col min="3840" max="3840" width="11.5703125" style="1410" customWidth="1"/>
    <col min="3841" max="3841" width="12.140625" style="1410" customWidth="1"/>
    <col min="3842" max="3842" width="11" style="1410" customWidth="1"/>
    <col min="3843" max="3843" width="11.7109375" style="1410" customWidth="1"/>
    <col min="3844" max="3844" width="9.7109375" style="1410" customWidth="1"/>
    <col min="3845" max="3845" width="9.85546875" style="1410" customWidth="1"/>
    <col min="3846" max="3846" width="10.5703125" style="1410" customWidth="1"/>
    <col min="3847" max="3847" width="10.85546875" style="1410" customWidth="1"/>
    <col min="3848" max="3848" width="16.42578125" style="1410" customWidth="1"/>
    <col min="3849" max="4094" width="9.140625" style="1410"/>
    <col min="4095" max="4095" width="6.85546875" style="1410" customWidth="1"/>
    <col min="4096" max="4096" width="11.5703125" style="1410" customWidth="1"/>
    <col min="4097" max="4097" width="12.140625" style="1410" customWidth="1"/>
    <col min="4098" max="4098" width="11" style="1410" customWidth="1"/>
    <col min="4099" max="4099" width="11.7109375" style="1410" customWidth="1"/>
    <col min="4100" max="4100" width="9.7109375" style="1410" customWidth="1"/>
    <col min="4101" max="4101" width="9.85546875" style="1410" customWidth="1"/>
    <col min="4102" max="4102" width="10.5703125" style="1410" customWidth="1"/>
    <col min="4103" max="4103" width="10.85546875" style="1410" customWidth="1"/>
    <col min="4104" max="4104" width="16.42578125" style="1410" customWidth="1"/>
    <col min="4105" max="4350" width="9.140625" style="1410"/>
    <col min="4351" max="4351" width="6.85546875" style="1410" customWidth="1"/>
    <col min="4352" max="4352" width="11.5703125" style="1410" customWidth="1"/>
    <col min="4353" max="4353" width="12.140625" style="1410" customWidth="1"/>
    <col min="4354" max="4354" width="11" style="1410" customWidth="1"/>
    <col min="4355" max="4355" width="11.7109375" style="1410" customWidth="1"/>
    <col min="4356" max="4356" width="9.7109375" style="1410" customWidth="1"/>
    <col min="4357" max="4357" width="9.85546875" style="1410" customWidth="1"/>
    <col min="4358" max="4358" width="10.5703125" style="1410" customWidth="1"/>
    <col min="4359" max="4359" width="10.85546875" style="1410" customWidth="1"/>
    <col min="4360" max="4360" width="16.42578125" style="1410" customWidth="1"/>
    <col min="4361" max="4606" width="9.140625" style="1410"/>
    <col min="4607" max="4607" width="6.85546875" style="1410" customWidth="1"/>
    <col min="4608" max="4608" width="11.5703125" style="1410" customWidth="1"/>
    <col min="4609" max="4609" width="12.140625" style="1410" customWidth="1"/>
    <col min="4610" max="4610" width="11" style="1410" customWidth="1"/>
    <col min="4611" max="4611" width="11.7109375" style="1410" customWidth="1"/>
    <col min="4612" max="4612" width="9.7109375" style="1410" customWidth="1"/>
    <col min="4613" max="4613" width="9.85546875" style="1410" customWidth="1"/>
    <col min="4614" max="4614" width="10.5703125" style="1410" customWidth="1"/>
    <col min="4615" max="4615" width="10.85546875" style="1410" customWidth="1"/>
    <col min="4616" max="4616" width="16.42578125" style="1410" customWidth="1"/>
    <col min="4617" max="4862" width="9.140625" style="1410"/>
    <col min="4863" max="4863" width="6.85546875" style="1410" customWidth="1"/>
    <col min="4864" max="4864" width="11.5703125" style="1410" customWidth="1"/>
    <col min="4865" max="4865" width="12.140625" style="1410" customWidth="1"/>
    <col min="4866" max="4866" width="11" style="1410" customWidth="1"/>
    <col min="4867" max="4867" width="11.7109375" style="1410" customWidth="1"/>
    <col min="4868" max="4868" width="9.7109375" style="1410" customWidth="1"/>
    <col min="4869" max="4869" width="9.85546875" style="1410" customWidth="1"/>
    <col min="4870" max="4870" width="10.5703125" style="1410" customWidth="1"/>
    <col min="4871" max="4871" width="10.85546875" style="1410" customWidth="1"/>
    <col min="4872" max="4872" width="16.42578125" style="1410" customWidth="1"/>
    <col min="4873" max="5118" width="9.140625" style="1410"/>
    <col min="5119" max="5119" width="6.85546875" style="1410" customWidth="1"/>
    <col min="5120" max="5120" width="11.5703125" style="1410" customWidth="1"/>
    <col min="5121" max="5121" width="12.140625" style="1410" customWidth="1"/>
    <col min="5122" max="5122" width="11" style="1410" customWidth="1"/>
    <col min="5123" max="5123" width="11.7109375" style="1410" customWidth="1"/>
    <col min="5124" max="5124" width="9.7109375" style="1410" customWidth="1"/>
    <col min="5125" max="5125" width="9.85546875" style="1410" customWidth="1"/>
    <col min="5126" max="5126" width="10.5703125" style="1410" customWidth="1"/>
    <col min="5127" max="5127" width="10.85546875" style="1410" customWidth="1"/>
    <col min="5128" max="5128" width="16.42578125" style="1410" customWidth="1"/>
    <col min="5129" max="5374" width="9.140625" style="1410"/>
    <col min="5375" max="5375" width="6.85546875" style="1410" customWidth="1"/>
    <col min="5376" max="5376" width="11.5703125" style="1410" customWidth="1"/>
    <col min="5377" max="5377" width="12.140625" style="1410" customWidth="1"/>
    <col min="5378" max="5378" width="11" style="1410" customWidth="1"/>
    <col min="5379" max="5379" width="11.7109375" style="1410" customWidth="1"/>
    <col min="5380" max="5380" width="9.7109375" style="1410" customWidth="1"/>
    <col min="5381" max="5381" width="9.85546875" style="1410" customWidth="1"/>
    <col min="5382" max="5382" width="10.5703125" style="1410" customWidth="1"/>
    <col min="5383" max="5383" width="10.85546875" style="1410" customWidth="1"/>
    <col min="5384" max="5384" width="16.42578125" style="1410" customWidth="1"/>
    <col min="5385" max="5630" width="9.140625" style="1410"/>
    <col min="5631" max="5631" width="6.85546875" style="1410" customWidth="1"/>
    <col min="5632" max="5632" width="11.5703125" style="1410" customWidth="1"/>
    <col min="5633" max="5633" width="12.140625" style="1410" customWidth="1"/>
    <col min="5634" max="5634" width="11" style="1410" customWidth="1"/>
    <col min="5635" max="5635" width="11.7109375" style="1410" customWidth="1"/>
    <col min="5636" max="5636" width="9.7109375" style="1410" customWidth="1"/>
    <col min="5637" max="5637" width="9.85546875" style="1410" customWidth="1"/>
    <col min="5638" max="5638" width="10.5703125" style="1410" customWidth="1"/>
    <col min="5639" max="5639" width="10.85546875" style="1410" customWidth="1"/>
    <col min="5640" max="5640" width="16.42578125" style="1410" customWidth="1"/>
    <col min="5641" max="5886" width="9.140625" style="1410"/>
    <col min="5887" max="5887" width="6.85546875" style="1410" customWidth="1"/>
    <col min="5888" max="5888" width="11.5703125" style="1410" customWidth="1"/>
    <col min="5889" max="5889" width="12.140625" style="1410" customWidth="1"/>
    <col min="5890" max="5890" width="11" style="1410" customWidth="1"/>
    <col min="5891" max="5891" width="11.7109375" style="1410" customWidth="1"/>
    <col min="5892" max="5892" width="9.7109375" style="1410" customWidth="1"/>
    <col min="5893" max="5893" width="9.85546875" style="1410" customWidth="1"/>
    <col min="5894" max="5894" width="10.5703125" style="1410" customWidth="1"/>
    <col min="5895" max="5895" width="10.85546875" style="1410" customWidth="1"/>
    <col min="5896" max="5896" width="16.42578125" style="1410" customWidth="1"/>
    <col min="5897" max="6142" width="9.140625" style="1410"/>
    <col min="6143" max="6143" width="6.85546875" style="1410" customWidth="1"/>
    <col min="6144" max="6144" width="11.5703125" style="1410" customWidth="1"/>
    <col min="6145" max="6145" width="12.140625" style="1410" customWidth="1"/>
    <col min="6146" max="6146" width="11" style="1410" customWidth="1"/>
    <col min="6147" max="6147" width="11.7109375" style="1410" customWidth="1"/>
    <col min="6148" max="6148" width="9.7109375" style="1410" customWidth="1"/>
    <col min="6149" max="6149" width="9.85546875" style="1410" customWidth="1"/>
    <col min="6150" max="6150" width="10.5703125" style="1410" customWidth="1"/>
    <col min="6151" max="6151" width="10.85546875" style="1410" customWidth="1"/>
    <col min="6152" max="6152" width="16.42578125" style="1410" customWidth="1"/>
    <col min="6153" max="6398" width="9.140625" style="1410"/>
    <col min="6399" max="6399" width="6.85546875" style="1410" customWidth="1"/>
    <col min="6400" max="6400" width="11.5703125" style="1410" customWidth="1"/>
    <col min="6401" max="6401" width="12.140625" style="1410" customWidth="1"/>
    <col min="6402" max="6402" width="11" style="1410" customWidth="1"/>
    <col min="6403" max="6403" width="11.7109375" style="1410" customWidth="1"/>
    <col min="6404" max="6404" width="9.7109375" style="1410" customWidth="1"/>
    <col min="6405" max="6405" width="9.85546875" style="1410" customWidth="1"/>
    <col min="6406" max="6406" width="10.5703125" style="1410" customWidth="1"/>
    <col min="6407" max="6407" width="10.85546875" style="1410" customWidth="1"/>
    <col min="6408" max="6408" width="16.42578125" style="1410" customWidth="1"/>
    <col min="6409" max="6654" width="9.140625" style="1410"/>
    <col min="6655" max="6655" width="6.85546875" style="1410" customWidth="1"/>
    <col min="6656" max="6656" width="11.5703125" style="1410" customWidth="1"/>
    <col min="6657" max="6657" width="12.140625" style="1410" customWidth="1"/>
    <col min="6658" max="6658" width="11" style="1410" customWidth="1"/>
    <col min="6659" max="6659" width="11.7109375" style="1410" customWidth="1"/>
    <col min="6660" max="6660" width="9.7109375" style="1410" customWidth="1"/>
    <col min="6661" max="6661" width="9.85546875" style="1410" customWidth="1"/>
    <col min="6662" max="6662" width="10.5703125" style="1410" customWidth="1"/>
    <col min="6663" max="6663" width="10.85546875" style="1410" customWidth="1"/>
    <col min="6664" max="6664" width="16.42578125" style="1410" customWidth="1"/>
    <col min="6665" max="6910" width="9.140625" style="1410"/>
    <col min="6911" max="6911" width="6.85546875" style="1410" customWidth="1"/>
    <col min="6912" max="6912" width="11.5703125" style="1410" customWidth="1"/>
    <col min="6913" max="6913" width="12.140625" style="1410" customWidth="1"/>
    <col min="6914" max="6914" width="11" style="1410" customWidth="1"/>
    <col min="6915" max="6915" width="11.7109375" style="1410" customWidth="1"/>
    <col min="6916" max="6916" width="9.7109375" style="1410" customWidth="1"/>
    <col min="6917" max="6917" width="9.85546875" style="1410" customWidth="1"/>
    <col min="6918" max="6918" width="10.5703125" style="1410" customWidth="1"/>
    <col min="6919" max="6919" width="10.85546875" style="1410" customWidth="1"/>
    <col min="6920" max="6920" width="16.42578125" style="1410" customWidth="1"/>
    <col min="6921" max="7166" width="9.140625" style="1410"/>
    <col min="7167" max="7167" width="6.85546875" style="1410" customWidth="1"/>
    <col min="7168" max="7168" width="11.5703125" style="1410" customWidth="1"/>
    <col min="7169" max="7169" width="12.140625" style="1410" customWidth="1"/>
    <col min="7170" max="7170" width="11" style="1410" customWidth="1"/>
    <col min="7171" max="7171" width="11.7109375" style="1410" customWidth="1"/>
    <col min="7172" max="7172" width="9.7109375" style="1410" customWidth="1"/>
    <col min="7173" max="7173" width="9.85546875" style="1410" customWidth="1"/>
    <col min="7174" max="7174" width="10.5703125" style="1410" customWidth="1"/>
    <col min="7175" max="7175" width="10.85546875" style="1410" customWidth="1"/>
    <col min="7176" max="7176" width="16.42578125" style="1410" customWidth="1"/>
    <col min="7177" max="7422" width="9.140625" style="1410"/>
    <col min="7423" max="7423" width="6.85546875" style="1410" customWidth="1"/>
    <col min="7424" max="7424" width="11.5703125" style="1410" customWidth="1"/>
    <col min="7425" max="7425" width="12.140625" style="1410" customWidth="1"/>
    <col min="7426" max="7426" width="11" style="1410" customWidth="1"/>
    <col min="7427" max="7427" width="11.7109375" style="1410" customWidth="1"/>
    <col min="7428" max="7428" width="9.7109375" style="1410" customWidth="1"/>
    <col min="7429" max="7429" width="9.85546875" style="1410" customWidth="1"/>
    <col min="7430" max="7430" width="10.5703125" style="1410" customWidth="1"/>
    <col min="7431" max="7431" width="10.85546875" style="1410" customWidth="1"/>
    <col min="7432" max="7432" width="16.42578125" style="1410" customWidth="1"/>
    <col min="7433" max="7678" width="9.140625" style="1410"/>
    <col min="7679" max="7679" width="6.85546875" style="1410" customWidth="1"/>
    <col min="7680" max="7680" width="11.5703125" style="1410" customWidth="1"/>
    <col min="7681" max="7681" width="12.140625" style="1410" customWidth="1"/>
    <col min="7682" max="7682" width="11" style="1410" customWidth="1"/>
    <col min="7683" max="7683" width="11.7109375" style="1410" customWidth="1"/>
    <col min="7684" max="7684" width="9.7109375" style="1410" customWidth="1"/>
    <col min="7685" max="7685" width="9.85546875" style="1410" customWidth="1"/>
    <col min="7686" max="7686" width="10.5703125" style="1410" customWidth="1"/>
    <col min="7687" max="7687" width="10.85546875" style="1410" customWidth="1"/>
    <col min="7688" max="7688" width="16.42578125" style="1410" customWidth="1"/>
    <col min="7689" max="7934" width="9.140625" style="1410"/>
    <col min="7935" max="7935" width="6.85546875" style="1410" customWidth="1"/>
    <col min="7936" max="7936" width="11.5703125" style="1410" customWidth="1"/>
    <col min="7937" max="7937" width="12.140625" style="1410" customWidth="1"/>
    <col min="7938" max="7938" width="11" style="1410" customWidth="1"/>
    <col min="7939" max="7939" width="11.7109375" style="1410" customWidth="1"/>
    <col min="7940" max="7940" width="9.7109375" style="1410" customWidth="1"/>
    <col min="7941" max="7941" width="9.85546875" style="1410" customWidth="1"/>
    <col min="7942" max="7942" width="10.5703125" style="1410" customWidth="1"/>
    <col min="7943" max="7943" width="10.85546875" style="1410" customWidth="1"/>
    <col min="7944" max="7944" width="16.42578125" style="1410" customWidth="1"/>
    <col min="7945" max="8190" width="9.140625" style="1410"/>
    <col min="8191" max="8191" width="6.85546875" style="1410" customWidth="1"/>
    <col min="8192" max="8192" width="11.5703125" style="1410" customWidth="1"/>
    <col min="8193" max="8193" width="12.140625" style="1410" customWidth="1"/>
    <col min="8194" max="8194" width="11" style="1410" customWidth="1"/>
    <col min="8195" max="8195" width="11.7109375" style="1410" customWidth="1"/>
    <col min="8196" max="8196" width="9.7109375" style="1410" customWidth="1"/>
    <col min="8197" max="8197" width="9.85546875" style="1410" customWidth="1"/>
    <col min="8198" max="8198" width="10.5703125" style="1410" customWidth="1"/>
    <col min="8199" max="8199" width="10.85546875" style="1410" customWidth="1"/>
    <col min="8200" max="8200" width="16.42578125" style="1410" customWidth="1"/>
    <col min="8201" max="8446" width="9.140625" style="1410"/>
    <col min="8447" max="8447" width="6.85546875" style="1410" customWidth="1"/>
    <col min="8448" max="8448" width="11.5703125" style="1410" customWidth="1"/>
    <col min="8449" max="8449" width="12.140625" style="1410" customWidth="1"/>
    <col min="8450" max="8450" width="11" style="1410" customWidth="1"/>
    <col min="8451" max="8451" width="11.7109375" style="1410" customWidth="1"/>
    <col min="8452" max="8452" width="9.7109375" style="1410" customWidth="1"/>
    <col min="8453" max="8453" width="9.85546875" style="1410" customWidth="1"/>
    <col min="8454" max="8454" width="10.5703125" style="1410" customWidth="1"/>
    <col min="8455" max="8455" width="10.85546875" style="1410" customWidth="1"/>
    <col min="8456" max="8456" width="16.42578125" style="1410" customWidth="1"/>
    <col min="8457" max="8702" width="9.140625" style="1410"/>
    <col min="8703" max="8703" width="6.85546875" style="1410" customWidth="1"/>
    <col min="8704" max="8704" width="11.5703125" style="1410" customWidth="1"/>
    <col min="8705" max="8705" width="12.140625" style="1410" customWidth="1"/>
    <col min="8706" max="8706" width="11" style="1410" customWidth="1"/>
    <col min="8707" max="8707" width="11.7109375" style="1410" customWidth="1"/>
    <col min="8708" max="8708" width="9.7109375" style="1410" customWidth="1"/>
    <col min="8709" max="8709" width="9.85546875" style="1410" customWidth="1"/>
    <col min="8710" max="8710" width="10.5703125" style="1410" customWidth="1"/>
    <col min="8711" max="8711" width="10.85546875" style="1410" customWidth="1"/>
    <col min="8712" max="8712" width="16.42578125" style="1410" customWidth="1"/>
    <col min="8713" max="8958" width="9.140625" style="1410"/>
    <col min="8959" max="8959" width="6.85546875" style="1410" customWidth="1"/>
    <col min="8960" max="8960" width="11.5703125" style="1410" customWidth="1"/>
    <col min="8961" max="8961" width="12.140625" style="1410" customWidth="1"/>
    <col min="8962" max="8962" width="11" style="1410" customWidth="1"/>
    <col min="8963" max="8963" width="11.7109375" style="1410" customWidth="1"/>
    <col min="8964" max="8964" width="9.7109375" style="1410" customWidth="1"/>
    <col min="8965" max="8965" width="9.85546875" style="1410" customWidth="1"/>
    <col min="8966" max="8966" width="10.5703125" style="1410" customWidth="1"/>
    <col min="8967" max="8967" width="10.85546875" style="1410" customWidth="1"/>
    <col min="8968" max="8968" width="16.42578125" style="1410" customWidth="1"/>
    <col min="8969" max="9214" width="9.140625" style="1410"/>
    <col min="9215" max="9215" width="6.85546875" style="1410" customWidth="1"/>
    <col min="9216" max="9216" width="11.5703125" style="1410" customWidth="1"/>
    <col min="9217" max="9217" width="12.140625" style="1410" customWidth="1"/>
    <col min="9218" max="9218" width="11" style="1410" customWidth="1"/>
    <col min="9219" max="9219" width="11.7109375" style="1410" customWidth="1"/>
    <col min="9220" max="9220" width="9.7109375" style="1410" customWidth="1"/>
    <col min="9221" max="9221" width="9.85546875" style="1410" customWidth="1"/>
    <col min="9222" max="9222" width="10.5703125" style="1410" customWidth="1"/>
    <col min="9223" max="9223" width="10.85546875" style="1410" customWidth="1"/>
    <col min="9224" max="9224" width="16.42578125" style="1410" customWidth="1"/>
    <col min="9225" max="9470" width="9.140625" style="1410"/>
    <col min="9471" max="9471" width="6.85546875" style="1410" customWidth="1"/>
    <col min="9472" max="9472" width="11.5703125" style="1410" customWidth="1"/>
    <col min="9473" max="9473" width="12.140625" style="1410" customWidth="1"/>
    <col min="9474" max="9474" width="11" style="1410" customWidth="1"/>
    <col min="9475" max="9475" width="11.7109375" style="1410" customWidth="1"/>
    <col min="9476" max="9476" width="9.7109375" style="1410" customWidth="1"/>
    <col min="9477" max="9477" width="9.85546875" style="1410" customWidth="1"/>
    <col min="9478" max="9478" width="10.5703125" style="1410" customWidth="1"/>
    <col min="9479" max="9479" width="10.85546875" style="1410" customWidth="1"/>
    <col min="9480" max="9480" width="16.42578125" style="1410" customWidth="1"/>
    <col min="9481" max="9726" width="9.140625" style="1410"/>
    <col min="9727" max="9727" width="6.85546875" style="1410" customWidth="1"/>
    <col min="9728" max="9728" width="11.5703125" style="1410" customWidth="1"/>
    <col min="9729" max="9729" width="12.140625" style="1410" customWidth="1"/>
    <col min="9730" max="9730" width="11" style="1410" customWidth="1"/>
    <col min="9731" max="9731" width="11.7109375" style="1410" customWidth="1"/>
    <col min="9732" max="9732" width="9.7109375" style="1410" customWidth="1"/>
    <col min="9733" max="9733" width="9.85546875" style="1410" customWidth="1"/>
    <col min="9734" max="9734" width="10.5703125" style="1410" customWidth="1"/>
    <col min="9735" max="9735" width="10.85546875" style="1410" customWidth="1"/>
    <col min="9736" max="9736" width="16.42578125" style="1410" customWidth="1"/>
    <col min="9737" max="9982" width="9.140625" style="1410"/>
    <col min="9983" max="9983" width="6.85546875" style="1410" customWidth="1"/>
    <col min="9984" max="9984" width="11.5703125" style="1410" customWidth="1"/>
    <col min="9985" max="9985" width="12.140625" style="1410" customWidth="1"/>
    <col min="9986" max="9986" width="11" style="1410" customWidth="1"/>
    <col min="9987" max="9987" width="11.7109375" style="1410" customWidth="1"/>
    <col min="9988" max="9988" width="9.7109375" style="1410" customWidth="1"/>
    <col min="9989" max="9989" width="9.85546875" style="1410" customWidth="1"/>
    <col min="9990" max="9990" width="10.5703125" style="1410" customWidth="1"/>
    <col min="9991" max="9991" width="10.85546875" style="1410" customWidth="1"/>
    <col min="9992" max="9992" width="16.42578125" style="1410" customWidth="1"/>
    <col min="9993" max="10238" width="9.140625" style="1410"/>
    <col min="10239" max="10239" width="6.85546875" style="1410" customWidth="1"/>
    <col min="10240" max="10240" width="11.5703125" style="1410" customWidth="1"/>
    <col min="10241" max="10241" width="12.140625" style="1410" customWidth="1"/>
    <col min="10242" max="10242" width="11" style="1410" customWidth="1"/>
    <col min="10243" max="10243" width="11.7109375" style="1410" customWidth="1"/>
    <col min="10244" max="10244" width="9.7109375" style="1410" customWidth="1"/>
    <col min="10245" max="10245" width="9.85546875" style="1410" customWidth="1"/>
    <col min="10246" max="10246" width="10.5703125" style="1410" customWidth="1"/>
    <col min="10247" max="10247" width="10.85546875" style="1410" customWidth="1"/>
    <col min="10248" max="10248" width="16.42578125" style="1410" customWidth="1"/>
    <col min="10249" max="10494" width="9.140625" style="1410"/>
    <col min="10495" max="10495" width="6.85546875" style="1410" customWidth="1"/>
    <col min="10496" max="10496" width="11.5703125" style="1410" customWidth="1"/>
    <col min="10497" max="10497" width="12.140625" style="1410" customWidth="1"/>
    <col min="10498" max="10498" width="11" style="1410" customWidth="1"/>
    <col min="10499" max="10499" width="11.7109375" style="1410" customWidth="1"/>
    <col min="10500" max="10500" width="9.7109375" style="1410" customWidth="1"/>
    <col min="10501" max="10501" width="9.85546875" style="1410" customWidth="1"/>
    <col min="10502" max="10502" width="10.5703125" style="1410" customWidth="1"/>
    <col min="10503" max="10503" width="10.85546875" style="1410" customWidth="1"/>
    <col min="10504" max="10504" width="16.42578125" style="1410" customWidth="1"/>
    <col min="10505" max="10750" width="9.140625" style="1410"/>
    <col min="10751" max="10751" width="6.85546875" style="1410" customWidth="1"/>
    <col min="10752" max="10752" width="11.5703125" style="1410" customWidth="1"/>
    <col min="10753" max="10753" width="12.140625" style="1410" customWidth="1"/>
    <col min="10754" max="10754" width="11" style="1410" customWidth="1"/>
    <col min="10755" max="10755" width="11.7109375" style="1410" customWidth="1"/>
    <col min="10756" max="10756" width="9.7109375" style="1410" customWidth="1"/>
    <col min="10757" max="10757" width="9.85546875" style="1410" customWidth="1"/>
    <col min="10758" max="10758" width="10.5703125" style="1410" customWidth="1"/>
    <col min="10759" max="10759" width="10.85546875" style="1410" customWidth="1"/>
    <col min="10760" max="10760" width="16.42578125" style="1410" customWidth="1"/>
    <col min="10761" max="11006" width="9.140625" style="1410"/>
    <col min="11007" max="11007" width="6.85546875" style="1410" customWidth="1"/>
    <col min="11008" max="11008" width="11.5703125" style="1410" customWidth="1"/>
    <col min="11009" max="11009" width="12.140625" style="1410" customWidth="1"/>
    <col min="11010" max="11010" width="11" style="1410" customWidth="1"/>
    <col min="11011" max="11011" width="11.7109375" style="1410" customWidth="1"/>
    <col min="11012" max="11012" width="9.7109375" style="1410" customWidth="1"/>
    <col min="11013" max="11013" width="9.85546875" style="1410" customWidth="1"/>
    <col min="11014" max="11014" width="10.5703125" style="1410" customWidth="1"/>
    <col min="11015" max="11015" width="10.85546875" style="1410" customWidth="1"/>
    <col min="11016" max="11016" width="16.42578125" style="1410" customWidth="1"/>
    <col min="11017" max="11262" width="9.140625" style="1410"/>
    <col min="11263" max="11263" width="6.85546875" style="1410" customWidth="1"/>
    <col min="11264" max="11264" width="11.5703125" style="1410" customWidth="1"/>
    <col min="11265" max="11265" width="12.140625" style="1410" customWidth="1"/>
    <col min="11266" max="11266" width="11" style="1410" customWidth="1"/>
    <col min="11267" max="11267" width="11.7109375" style="1410" customWidth="1"/>
    <col min="11268" max="11268" width="9.7109375" style="1410" customWidth="1"/>
    <col min="11269" max="11269" width="9.85546875" style="1410" customWidth="1"/>
    <col min="11270" max="11270" width="10.5703125" style="1410" customWidth="1"/>
    <col min="11271" max="11271" width="10.85546875" style="1410" customWidth="1"/>
    <col min="11272" max="11272" width="16.42578125" style="1410" customWidth="1"/>
    <col min="11273" max="11518" width="9.140625" style="1410"/>
    <col min="11519" max="11519" width="6.85546875" style="1410" customWidth="1"/>
    <col min="11520" max="11520" width="11.5703125" style="1410" customWidth="1"/>
    <col min="11521" max="11521" width="12.140625" style="1410" customWidth="1"/>
    <col min="11522" max="11522" width="11" style="1410" customWidth="1"/>
    <col min="11523" max="11523" width="11.7109375" style="1410" customWidth="1"/>
    <col min="11524" max="11524" width="9.7109375" style="1410" customWidth="1"/>
    <col min="11525" max="11525" width="9.85546875" style="1410" customWidth="1"/>
    <col min="11526" max="11526" width="10.5703125" style="1410" customWidth="1"/>
    <col min="11527" max="11527" width="10.85546875" style="1410" customWidth="1"/>
    <col min="11528" max="11528" width="16.42578125" style="1410" customWidth="1"/>
    <col min="11529" max="11774" width="9.140625" style="1410"/>
    <col min="11775" max="11775" width="6.85546875" style="1410" customWidth="1"/>
    <col min="11776" max="11776" width="11.5703125" style="1410" customWidth="1"/>
    <col min="11777" max="11777" width="12.140625" style="1410" customWidth="1"/>
    <col min="11778" max="11778" width="11" style="1410" customWidth="1"/>
    <col min="11779" max="11779" width="11.7109375" style="1410" customWidth="1"/>
    <col min="11780" max="11780" width="9.7109375" style="1410" customWidth="1"/>
    <col min="11781" max="11781" width="9.85546875" style="1410" customWidth="1"/>
    <col min="11782" max="11782" width="10.5703125" style="1410" customWidth="1"/>
    <col min="11783" max="11783" width="10.85546875" style="1410" customWidth="1"/>
    <col min="11784" max="11784" width="16.42578125" style="1410" customWidth="1"/>
    <col min="11785" max="12030" width="9.140625" style="1410"/>
    <col min="12031" max="12031" width="6.85546875" style="1410" customWidth="1"/>
    <col min="12032" max="12032" width="11.5703125" style="1410" customWidth="1"/>
    <col min="12033" max="12033" width="12.140625" style="1410" customWidth="1"/>
    <col min="12034" max="12034" width="11" style="1410" customWidth="1"/>
    <col min="12035" max="12035" width="11.7109375" style="1410" customWidth="1"/>
    <col min="12036" max="12036" width="9.7109375" style="1410" customWidth="1"/>
    <col min="12037" max="12037" width="9.85546875" style="1410" customWidth="1"/>
    <col min="12038" max="12038" width="10.5703125" style="1410" customWidth="1"/>
    <col min="12039" max="12039" width="10.85546875" style="1410" customWidth="1"/>
    <col min="12040" max="12040" width="16.42578125" style="1410" customWidth="1"/>
    <col min="12041" max="12286" width="9.140625" style="1410"/>
    <col min="12287" max="12287" width="6.85546875" style="1410" customWidth="1"/>
    <col min="12288" max="12288" width="11.5703125" style="1410" customWidth="1"/>
    <col min="12289" max="12289" width="12.140625" style="1410" customWidth="1"/>
    <col min="12290" max="12290" width="11" style="1410" customWidth="1"/>
    <col min="12291" max="12291" width="11.7109375" style="1410" customWidth="1"/>
    <col min="12292" max="12292" width="9.7109375" style="1410" customWidth="1"/>
    <col min="12293" max="12293" width="9.85546875" style="1410" customWidth="1"/>
    <col min="12294" max="12294" width="10.5703125" style="1410" customWidth="1"/>
    <col min="12295" max="12295" width="10.85546875" style="1410" customWidth="1"/>
    <col min="12296" max="12296" width="16.42578125" style="1410" customWidth="1"/>
    <col min="12297" max="12542" width="9.140625" style="1410"/>
    <col min="12543" max="12543" width="6.85546875" style="1410" customWidth="1"/>
    <col min="12544" max="12544" width="11.5703125" style="1410" customWidth="1"/>
    <col min="12545" max="12545" width="12.140625" style="1410" customWidth="1"/>
    <col min="12546" max="12546" width="11" style="1410" customWidth="1"/>
    <col min="12547" max="12547" width="11.7109375" style="1410" customWidth="1"/>
    <col min="12548" max="12548" width="9.7109375" style="1410" customWidth="1"/>
    <col min="12549" max="12549" width="9.85546875" style="1410" customWidth="1"/>
    <col min="12550" max="12550" width="10.5703125" style="1410" customWidth="1"/>
    <col min="12551" max="12551" width="10.85546875" style="1410" customWidth="1"/>
    <col min="12552" max="12552" width="16.42578125" style="1410" customWidth="1"/>
    <col min="12553" max="12798" width="9.140625" style="1410"/>
    <col min="12799" max="12799" width="6.85546875" style="1410" customWidth="1"/>
    <col min="12800" max="12800" width="11.5703125" style="1410" customWidth="1"/>
    <col min="12801" max="12801" width="12.140625" style="1410" customWidth="1"/>
    <col min="12802" max="12802" width="11" style="1410" customWidth="1"/>
    <col min="12803" max="12803" width="11.7109375" style="1410" customWidth="1"/>
    <col min="12804" max="12804" width="9.7109375" style="1410" customWidth="1"/>
    <col min="12805" max="12805" width="9.85546875" style="1410" customWidth="1"/>
    <col min="12806" max="12806" width="10.5703125" style="1410" customWidth="1"/>
    <col min="12807" max="12807" width="10.85546875" style="1410" customWidth="1"/>
    <col min="12808" max="12808" width="16.42578125" style="1410" customWidth="1"/>
    <col min="12809" max="13054" width="9.140625" style="1410"/>
    <col min="13055" max="13055" width="6.85546875" style="1410" customWidth="1"/>
    <col min="13056" max="13056" width="11.5703125" style="1410" customWidth="1"/>
    <col min="13057" max="13057" width="12.140625" style="1410" customWidth="1"/>
    <col min="13058" max="13058" width="11" style="1410" customWidth="1"/>
    <col min="13059" max="13059" width="11.7109375" style="1410" customWidth="1"/>
    <col min="13060" max="13060" width="9.7109375" style="1410" customWidth="1"/>
    <col min="13061" max="13061" width="9.85546875" style="1410" customWidth="1"/>
    <col min="13062" max="13062" width="10.5703125" style="1410" customWidth="1"/>
    <col min="13063" max="13063" width="10.85546875" style="1410" customWidth="1"/>
    <col min="13064" max="13064" width="16.42578125" style="1410" customWidth="1"/>
    <col min="13065" max="13310" width="9.140625" style="1410"/>
    <col min="13311" max="13311" width="6.85546875" style="1410" customWidth="1"/>
    <col min="13312" max="13312" width="11.5703125" style="1410" customWidth="1"/>
    <col min="13313" max="13313" width="12.140625" style="1410" customWidth="1"/>
    <col min="13314" max="13314" width="11" style="1410" customWidth="1"/>
    <col min="13315" max="13315" width="11.7109375" style="1410" customWidth="1"/>
    <col min="13316" max="13316" width="9.7109375" style="1410" customWidth="1"/>
    <col min="13317" max="13317" width="9.85546875" style="1410" customWidth="1"/>
    <col min="13318" max="13318" width="10.5703125" style="1410" customWidth="1"/>
    <col min="13319" max="13319" width="10.85546875" style="1410" customWidth="1"/>
    <col min="13320" max="13320" width="16.42578125" style="1410" customWidth="1"/>
    <col min="13321" max="13566" width="9.140625" style="1410"/>
    <col min="13567" max="13567" width="6.85546875" style="1410" customWidth="1"/>
    <col min="13568" max="13568" width="11.5703125" style="1410" customWidth="1"/>
    <col min="13569" max="13569" width="12.140625" style="1410" customWidth="1"/>
    <col min="13570" max="13570" width="11" style="1410" customWidth="1"/>
    <col min="13571" max="13571" width="11.7109375" style="1410" customWidth="1"/>
    <col min="13572" max="13572" width="9.7109375" style="1410" customWidth="1"/>
    <col min="13573" max="13573" width="9.85546875" style="1410" customWidth="1"/>
    <col min="13574" max="13574" width="10.5703125" style="1410" customWidth="1"/>
    <col min="13575" max="13575" width="10.85546875" style="1410" customWidth="1"/>
    <col min="13576" max="13576" width="16.42578125" style="1410" customWidth="1"/>
    <col min="13577" max="13822" width="9.140625" style="1410"/>
    <col min="13823" max="13823" width="6.85546875" style="1410" customWidth="1"/>
    <col min="13824" max="13824" width="11.5703125" style="1410" customWidth="1"/>
    <col min="13825" max="13825" width="12.140625" style="1410" customWidth="1"/>
    <col min="13826" max="13826" width="11" style="1410" customWidth="1"/>
    <col min="13827" max="13827" width="11.7109375" style="1410" customWidth="1"/>
    <col min="13828" max="13828" width="9.7109375" style="1410" customWidth="1"/>
    <col min="13829" max="13829" width="9.85546875" style="1410" customWidth="1"/>
    <col min="13830" max="13830" width="10.5703125" style="1410" customWidth="1"/>
    <col min="13831" max="13831" width="10.85546875" style="1410" customWidth="1"/>
    <col min="13832" max="13832" width="16.42578125" style="1410" customWidth="1"/>
    <col min="13833" max="14078" width="9.140625" style="1410"/>
    <col min="14079" max="14079" width="6.85546875" style="1410" customWidth="1"/>
    <col min="14080" max="14080" width="11.5703125" style="1410" customWidth="1"/>
    <col min="14081" max="14081" width="12.140625" style="1410" customWidth="1"/>
    <col min="14082" max="14082" width="11" style="1410" customWidth="1"/>
    <col min="14083" max="14083" width="11.7109375" style="1410" customWidth="1"/>
    <col min="14084" max="14084" width="9.7109375" style="1410" customWidth="1"/>
    <col min="14085" max="14085" width="9.85546875" style="1410" customWidth="1"/>
    <col min="14086" max="14086" width="10.5703125" style="1410" customWidth="1"/>
    <col min="14087" max="14087" width="10.85546875" style="1410" customWidth="1"/>
    <col min="14088" max="14088" width="16.42578125" style="1410" customWidth="1"/>
    <col min="14089" max="14334" width="9.140625" style="1410"/>
    <col min="14335" max="14335" width="6.85546875" style="1410" customWidth="1"/>
    <col min="14336" max="14336" width="11.5703125" style="1410" customWidth="1"/>
    <col min="14337" max="14337" width="12.140625" style="1410" customWidth="1"/>
    <col min="14338" max="14338" width="11" style="1410" customWidth="1"/>
    <col min="14339" max="14339" width="11.7109375" style="1410" customWidth="1"/>
    <col min="14340" max="14340" width="9.7109375" style="1410" customWidth="1"/>
    <col min="14341" max="14341" width="9.85546875" style="1410" customWidth="1"/>
    <col min="14342" max="14342" width="10.5703125" style="1410" customWidth="1"/>
    <col min="14343" max="14343" width="10.85546875" style="1410" customWidth="1"/>
    <col min="14344" max="14344" width="16.42578125" style="1410" customWidth="1"/>
    <col min="14345" max="14590" width="9.140625" style="1410"/>
    <col min="14591" max="14591" width="6.85546875" style="1410" customWidth="1"/>
    <col min="14592" max="14592" width="11.5703125" style="1410" customWidth="1"/>
    <col min="14593" max="14593" width="12.140625" style="1410" customWidth="1"/>
    <col min="14594" max="14594" width="11" style="1410" customWidth="1"/>
    <col min="14595" max="14595" width="11.7109375" style="1410" customWidth="1"/>
    <col min="14596" max="14596" width="9.7109375" style="1410" customWidth="1"/>
    <col min="14597" max="14597" width="9.85546875" style="1410" customWidth="1"/>
    <col min="14598" max="14598" width="10.5703125" style="1410" customWidth="1"/>
    <col min="14599" max="14599" width="10.85546875" style="1410" customWidth="1"/>
    <col min="14600" max="14600" width="16.42578125" style="1410" customWidth="1"/>
    <col min="14601" max="14846" width="9.140625" style="1410"/>
    <col min="14847" max="14847" width="6.85546875" style="1410" customWidth="1"/>
    <col min="14848" max="14848" width="11.5703125" style="1410" customWidth="1"/>
    <col min="14849" max="14849" width="12.140625" style="1410" customWidth="1"/>
    <col min="14850" max="14850" width="11" style="1410" customWidth="1"/>
    <col min="14851" max="14851" width="11.7109375" style="1410" customWidth="1"/>
    <col min="14852" max="14852" width="9.7109375" style="1410" customWidth="1"/>
    <col min="14853" max="14853" width="9.85546875" style="1410" customWidth="1"/>
    <col min="14854" max="14854" width="10.5703125" style="1410" customWidth="1"/>
    <col min="14855" max="14855" width="10.85546875" style="1410" customWidth="1"/>
    <col min="14856" max="14856" width="16.42578125" style="1410" customWidth="1"/>
    <col min="14857" max="15102" width="9.140625" style="1410"/>
    <col min="15103" max="15103" width="6.85546875" style="1410" customWidth="1"/>
    <col min="15104" max="15104" width="11.5703125" style="1410" customWidth="1"/>
    <col min="15105" max="15105" width="12.140625" style="1410" customWidth="1"/>
    <col min="15106" max="15106" width="11" style="1410" customWidth="1"/>
    <col min="15107" max="15107" width="11.7109375" style="1410" customWidth="1"/>
    <col min="15108" max="15108" width="9.7109375" style="1410" customWidth="1"/>
    <col min="15109" max="15109" width="9.85546875" style="1410" customWidth="1"/>
    <col min="15110" max="15110" width="10.5703125" style="1410" customWidth="1"/>
    <col min="15111" max="15111" width="10.85546875" style="1410" customWidth="1"/>
    <col min="15112" max="15112" width="16.42578125" style="1410" customWidth="1"/>
    <col min="15113" max="15358" width="9.140625" style="1410"/>
    <col min="15359" max="15359" width="6.85546875" style="1410" customWidth="1"/>
    <col min="15360" max="15360" width="11.5703125" style="1410" customWidth="1"/>
    <col min="15361" max="15361" width="12.140625" style="1410" customWidth="1"/>
    <col min="15362" max="15362" width="11" style="1410" customWidth="1"/>
    <col min="15363" max="15363" width="11.7109375" style="1410" customWidth="1"/>
    <col min="15364" max="15364" width="9.7109375" style="1410" customWidth="1"/>
    <col min="15365" max="15365" width="9.85546875" style="1410" customWidth="1"/>
    <col min="15366" max="15366" width="10.5703125" style="1410" customWidth="1"/>
    <col min="15367" max="15367" width="10.85546875" style="1410" customWidth="1"/>
    <col min="15368" max="15368" width="16.42578125" style="1410" customWidth="1"/>
    <col min="15369" max="15614" width="9.140625" style="1410"/>
    <col min="15615" max="15615" width="6.85546875" style="1410" customWidth="1"/>
    <col min="15616" max="15616" width="11.5703125" style="1410" customWidth="1"/>
    <col min="15617" max="15617" width="12.140625" style="1410" customWidth="1"/>
    <col min="15618" max="15618" width="11" style="1410" customWidth="1"/>
    <col min="15619" max="15619" width="11.7109375" style="1410" customWidth="1"/>
    <col min="15620" max="15620" width="9.7109375" style="1410" customWidth="1"/>
    <col min="15621" max="15621" width="9.85546875" style="1410" customWidth="1"/>
    <col min="15622" max="15622" width="10.5703125" style="1410" customWidth="1"/>
    <col min="15623" max="15623" width="10.85546875" style="1410" customWidth="1"/>
    <col min="15624" max="15624" width="16.42578125" style="1410" customWidth="1"/>
    <col min="15625" max="15870" width="9.140625" style="1410"/>
    <col min="15871" max="15871" width="6.85546875" style="1410" customWidth="1"/>
    <col min="15872" max="15872" width="11.5703125" style="1410" customWidth="1"/>
    <col min="15873" max="15873" width="12.140625" style="1410" customWidth="1"/>
    <col min="15874" max="15874" width="11" style="1410" customWidth="1"/>
    <col min="15875" max="15875" width="11.7109375" style="1410" customWidth="1"/>
    <col min="15876" max="15876" width="9.7109375" style="1410" customWidth="1"/>
    <col min="15877" max="15877" width="9.85546875" style="1410" customWidth="1"/>
    <col min="15878" max="15878" width="10.5703125" style="1410" customWidth="1"/>
    <col min="15879" max="15879" width="10.85546875" style="1410" customWidth="1"/>
    <col min="15880" max="15880" width="16.42578125" style="1410" customWidth="1"/>
    <col min="15881" max="16126" width="9.140625" style="1410"/>
    <col min="16127" max="16127" width="6.85546875" style="1410" customWidth="1"/>
    <col min="16128" max="16128" width="11.5703125" style="1410" customWidth="1"/>
    <col min="16129" max="16129" width="12.140625" style="1410" customWidth="1"/>
    <col min="16130" max="16130" width="11" style="1410" customWidth="1"/>
    <col min="16131" max="16131" width="11.7109375" style="1410" customWidth="1"/>
    <col min="16132" max="16132" width="9.7109375" style="1410" customWidth="1"/>
    <col min="16133" max="16133" width="9.85546875" style="1410" customWidth="1"/>
    <col min="16134" max="16134" width="10.5703125" style="1410" customWidth="1"/>
    <col min="16135" max="16135" width="10.85546875" style="1410" customWidth="1"/>
    <col min="16136" max="16136" width="16.42578125" style="1410" customWidth="1"/>
    <col min="16137" max="16384" width="9.140625" style="1410"/>
  </cols>
  <sheetData>
    <row r="1" spans="1:10" s="1412" customFormat="1" ht="22.5" customHeight="1" x14ac:dyDescent="0.25">
      <c r="A1" s="1411" t="str">
        <f>'48N'!A1</f>
        <v>UBND PHƯỜNG ĐỨC XUÂN</v>
      </c>
      <c r="C1" s="1443"/>
      <c r="I1" s="1991" t="s">
        <v>714</v>
      </c>
      <c r="J1" s="1991"/>
    </row>
    <row r="2" spans="1:10" s="39" customFormat="1" x14ac:dyDescent="0.25">
      <c r="C2" s="350"/>
      <c r="I2" s="1386"/>
      <c r="J2" s="1386"/>
    </row>
    <row r="3" spans="1:10" s="39" customFormat="1" ht="39.75" customHeight="1" x14ac:dyDescent="0.25">
      <c r="A3" s="1992" t="s">
        <v>776</v>
      </c>
      <c r="B3" s="1992"/>
      <c r="C3" s="1992"/>
      <c r="D3" s="1992"/>
      <c r="E3" s="1992"/>
      <c r="F3" s="1992"/>
      <c r="G3" s="1992"/>
      <c r="H3" s="1992"/>
      <c r="I3" s="1992"/>
      <c r="J3" s="1992"/>
    </row>
    <row r="4" spans="1:10" s="39" customFormat="1" ht="23.25" customHeight="1" x14ac:dyDescent="0.25">
      <c r="A4" s="2006" t="str">
        <f>'48N'!A4:F4</f>
        <v>(Kèm theo Tờ trình số    /TTr-KTHT&amp;ĐT ngày      /4/2026 của phòng KTHT&amp;ĐT phường Đức Xuân)</v>
      </c>
      <c r="B4" s="2006"/>
      <c r="C4" s="2006"/>
      <c r="D4" s="2006"/>
      <c r="E4" s="2006"/>
      <c r="F4" s="2006"/>
      <c r="G4" s="2006"/>
      <c r="H4" s="2006"/>
      <c r="I4" s="2006"/>
      <c r="J4" s="2006"/>
    </row>
    <row r="5" spans="1:10" s="39" customFormat="1" ht="26.25" customHeight="1" x14ac:dyDescent="0.25">
      <c r="C5" s="350"/>
      <c r="H5" s="1993" t="s">
        <v>715</v>
      </c>
      <c r="I5" s="1993"/>
      <c r="J5" s="1993"/>
    </row>
    <row r="6" spans="1:10" s="39" customFormat="1" ht="21.75" customHeight="1" x14ac:dyDescent="0.25">
      <c r="A6" s="1994" t="s">
        <v>1</v>
      </c>
      <c r="B6" s="1994" t="s">
        <v>168</v>
      </c>
      <c r="C6" s="1997" t="s">
        <v>716</v>
      </c>
      <c r="D6" s="2000" t="s">
        <v>731</v>
      </c>
      <c r="E6" s="2001"/>
      <c r="F6" s="2002" t="s">
        <v>717</v>
      </c>
      <c r="G6" s="2005" t="s">
        <v>45</v>
      </c>
      <c r="H6" s="2005"/>
      <c r="I6" s="2005"/>
      <c r="J6" s="1994" t="s">
        <v>796</v>
      </c>
    </row>
    <row r="7" spans="1:10" s="39" customFormat="1" ht="30" customHeight="1" x14ac:dyDescent="0.25">
      <c r="A7" s="1995"/>
      <c r="B7" s="1995"/>
      <c r="C7" s="1998"/>
      <c r="D7" s="2007" t="s">
        <v>718</v>
      </c>
      <c r="E7" s="2007" t="s">
        <v>719</v>
      </c>
      <c r="F7" s="2003"/>
      <c r="G7" s="2008" t="s">
        <v>117</v>
      </c>
      <c r="H7" s="2008" t="s">
        <v>720</v>
      </c>
      <c r="I7" s="2008" t="s">
        <v>188</v>
      </c>
      <c r="J7" s="1995"/>
    </row>
    <row r="8" spans="1:10" s="39" customFormat="1" ht="30" customHeight="1" x14ac:dyDescent="0.25">
      <c r="A8" s="1996"/>
      <c r="B8" s="1996"/>
      <c r="C8" s="1999"/>
      <c r="D8" s="2007"/>
      <c r="E8" s="2007"/>
      <c r="F8" s="2004"/>
      <c r="G8" s="2009"/>
      <c r="H8" s="2009"/>
      <c r="I8" s="2009"/>
      <c r="J8" s="1995"/>
    </row>
    <row r="9" spans="1:10" s="1490" customFormat="1" ht="22.5" customHeight="1" x14ac:dyDescent="0.25">
      <c r="A9" s="1488" t="s">
        <v>4</v>
      </c>
      <c r="B9" s="1488" t="s">
        <v>5</v>
      </c>
      <c r="C9" s="1489">
        <v>1</v>
      </c>
      <c r="D9" s="1488">
        <v>2</v>
      </c>
      <c r="E9" s="1488">
        <v>3</v>
      </c>
      <c r="F9" s="1488" t="s">
        <v>721</v>
      </c>
      <c r="G9" s="1488">
        <v>5</v>
      </c>
      <c r="H9" s="1488">
        <v>6</v>
      </c>
      <c r="I9" s="1488">
        <v>7</v>
      </c>
      <c r="J9" s="1488">
        <v>8</v>
      </c>
    </row>
    <row r="10" spans="1:10" s="1416" customFormat="1" ht="24" customHeight="1" x14ac:dyDescent="0.25">
      <c r="A10" s="1413"/>
      <c r="B10" s="1414" t="s">
        <v>317</v>
      </c>
      <c r="C10" s="1444">
        <f>C11+C17</f>
        <v>42301844.708999999</v>
      </c>
      <c r="D10" s="1424">
        <f t="shared" ref="D10:I10" si="0">D11+D17</f>
        <v>31923328.950999998</v>
      </c>
      <c r="E10" s="1424">
        <f t="shared" si="0"/>
        <v>0</v>
      </c>
      <c r="F10" s="1424">
        <f t="shared" si="0"/>
        <v>10378515.757999999</v>
      </c>
      <c r="G10" s="1424">
        <f t="shared" si="0"/>
        <v>9618000</v>
      </c>
      <c r="H10" s="1424">
        <f t="shared" si="0"/>
        <v>746415.75799999991</v>
      </c>
      <c r="I10" s="1424">
        <f t="shared" si="0"/>
        <v>0</v>
      </c>
      <c r="J10" s="1415"/>
    </row>
    <row r="11" spans="1:10" s="1416" customFormat="1" ht="24" customHeight="1" x14ac:dyDescent="0.25">
      <c r="A11" s="1413" t="s">
        <v>6</v>
      </c>
      <c r="B11" s="1414" t="s">
        <v>604</v>
      </c>
      <c r="C11" s="1444">
        <f>SUM(C12:C16)</f>
        <v>1197000</v>
      </c>
      <c r="D11" s="1424">
        <f t="shared" ref="D11:I11" si="1">SUM(D12:D16)</f>
        <v>455164.24200000009</v>
      </c>
      <c r="E11" s="1424">
        <f t="shared" si="1"/>
        <v>0</v>
      </c>
      <c r="F11" s="1424">
        <f t="shared" si="1"/>
        <v>741835.75799999991</v>
      </c>
      <c r="G11" s="1424">
        <f t="shared" si="1"/>
        <v>0</v>
      </c>
      <c r="H11" s="1424">
        <f t="shared" si="1"/>
        <v>741835.75799999991</v>
      </c>
      <c r="I11" s="1424">
        <f t="shared" si="1"/>
        <v>0</v>
      </c>
      <c r="J11" s="1415"/>
    </row>
    <row r="12" spans="1:10" s="1421" customFormat="1" ht="31.5" customHeight="1" x14ac:dyDescent="0.25">
      <c r="A12" s="1417">
        <v>1</v>
      </c>
      <c r="B12" s="1418" t="s">
        <v>533</v>
      </c>
      <c r="C12" s="1445">
        <v>171000</v>
      </c>
      <c r="D12" s="1419">
        <v>111053.7</v>
      </c>
      <c r="E12" s="1487" t="s">
        <v>821</v>
      </c>
      <c r="F12" s="1419">
        <f>C12-D12</f>
        <v>59946.3</v>
      </c>
      <c r="G12" s="1419"/>
      <c r="H12" s="1419">
        <v>59946.3</v>
      </c>
      <c r="I12" s="1419"/>
      <c r="J12" s="1420" t="s">
        <v>798</v>
      </c>
    </row>
    <row r="13" spans="1:10" s="1421" customFormat="1" ht="33.75" customHeight="1" x14ac:dyDescent="0.25">
      <c r="A13" s="1417">
        <v>2</v>
      </c>
      <c r="B13" s="1422" t="s">
        <v>369</v>
      </c>
      <c r="C13" s="1445">
        <v>90000</v>
      </c>
      <c r="D13" s="1419">
        <v>90000</v>
      </c>
      <c r="E13" s="1487" t="s">
        <v>821</v>
      </c>
      <c r="F13" s="1419">
        <f t="shared" ref="F13:F37" si="2">C13-D13</f>
        <v>0</v>
      </c>
      <c r="G13" s="1419"/>
      <c r="H13" s="1419">
        <v>0</v>
      </c>
      <c r="I13" s="1419"/>
      <c r="J13" s="1420" t="s">
        <v>799</v>
      </c>
    </row>
    <row r="14" spans="1:10" s="275" customFormat="1" ht="69" customHeight="1" x14ac:dyDescent="0.25">
      <c r="A14" s="1417">
        <v>3</v>
      </c>
      <c r="B14" s="1423" t="s">
        <v>794</v>
      </c>
      <c r="C14" s="1445">
        <v>184000</v>
      </c>
      <c r="D14" s="1419">
        <v>66995.15400000001</v>
      </c>
      <c r="E14" s="1487" t="s">
        <v>842</v>
      </c>
      <c r="F14" s="1419">
        <f t="shared" si="2"/>
        <v>117004.84599999999</v>
      </c>
      <c r="G14" s="1419"/>
      <c r="H14" s="1419">
        <v>117004.84599999999</v>
      </c>
      <c r="I14" s="1419"/>
      <c r="J14" s="1420" t="s">
        <v>800</v>
      </c>
    </row>
    <row r="15" spans="1:10" s="275" customFormat="1" ht="31.5" customHeight="1" x14ac:dyDescent="0.25">
      <c r="A15" s="1417">
        <v>4</v>
      </c>
      <c r="B15" s="1423" t="s">
        <v>752</v>
      </c>
      <c r="C15" s="1445">
        <v>552000</v>
      </c>
      <c r="D15" s="1419">
        <v>187115.38800000001</v>
      </c>
      <c r="E15" s="1487" t="s">
        <v>843</v>
      </c>
      <c r="F15" s="1419">
        <f t="shared" si="2"/>
        <v>364884.61199999996</v>
      </c>
      <c r="G15" s="1419"/>
      <c r="H15" s="1419">
        <v>364884.61199999996</v>
      </c>
      <c r="I15" s="1419"/>
      <c r="J15" s="1420" t="s">
        <v>801</v>
      </c>
    </row>
    <row r="16" spans="1:10" s="275" customFormat="1" ht="28.5" customHeight="1" x14ac:dyDescent="0.25">
      <c r="A16" s="1417">
        <v>5</v>
      </c>
      <c r="B16" s="1423" t="s">
        <v>802</v>
      </c>
      <c r="C16" s="1445">
        <v>200000</v>
      </c>
      <c r="D16" s="1419"/>
      <c r="E16" s="1487" t="s">
        <v>701</v>
      </c>
      <c r="F16" s="1419">
        <f t="shared" ref="F16" si="3">C16-D16</f>
        <v>200000</v>
      </c>
      <c r="G16" s="1419"/>
      <c r="H16" s="1419">
        <v>200000</v>
      </c>
      <c r="I16" s="1419"/>
      <c r="J16" s="1420" t="s">
        <v>801</v>
      </c>
    </row>
    <row r="17" spans="1:10" s="1416" customFormat="1" ht="24" customHeight="1" x14ac:dyDescent="0.25">
      <c r="A17" s="1413" t="s">
        <v>12</v>
      </c>
      <c r="B17" s="1414" t="s">
        <v>795</v>
      </c>
      <c r="C17" s="1444">
        <f>SUM(C18:C37)</f>
        <v>41104844.708999999</v>
      </c>
      <c r="D17" s="1424">
        <f t="shared" ref="D17:I17" si="4">SUM(D18:D37)</f>
        <v>31468164.708999999</v>
      </c>
      <c r="E17" s="1424">
        <f t="shared" si="4"/>
        <v>0</v>
      </c>
      <c r="F17" s="1424">
        <f t="shared" si="4"/>
        <v>9636680</v>
      </c>
      <c r="G17" s="1424">
        <f t="shared" si="4"/>
        <v>9618000</v>
      </c>
      <c r="H17" s="1424">
        <f t="shared" si="4"/>
        <v>4580</v>
      </c>
      <c r="I17" s="1424">
        <f t="shared" si="4"/>
        <v>0</v>
      </c>
      <c r="J17" s="1415"/>
    </row>
    <row r="18" spans="1:10" s="1" customFormat="1" ht="29.25" customHeight="1" x14ac:dyDescent="0.25">
      <c r="A18" s="1417">
        <v>1</v>
      </c>
      <c r="B18" s="1425" t="s">
        <v>777</v>
      </c>
      <c r="C18" s="1445">
        <v>2941275</v>
      </c>
      <c r="D18" s="1419">
        <f>C18</f>
        <v>2941275</v>
      </c>
      <c r="E18" s="1487" t="s">
        <v>844</v>
      </c>
      <c r="F18" s="1419">
        <f t="shared" si="2"/>
        <v>0</v>
      </c>
      <c r="G18" s="1419"/>
      <c r="H18" s="1419"/>
      <c r="I18" s="1419"/>
      <c r="J18" s="1420" t="s">
        <v>778</v>
      </c>
    </row>
    <row r="19" spans="1:10" s="1" customFormat="1" ht="30" x14ac:dyDescent="0.25">
      <c r="A19" s="1417">
        <v>2</v>
      </c>
      <c r="B19" s="1418" t="s">
        <v>779</v>
      </c>
      <c r="C19" s="1445">
        <v>2010500</v>
      </c>
      <c r="D19" s="1419">
        <v>1996400</v>
      </c>
      <c r="E19" s="1487" t="s">
        <v>845</v>
      </c>
      <c r="F19" s="1419">
        <f t="shared" si="2"/>
        <v>14100</v>
      </c>
      <c r="G19" s="1419"/>
      <c r="H19" s="1419"/>
      <c r="I19" s="1419"/>
      <c r="J19" s="708" t="s">
        <v>823</v>
      </c>
    </row>
    <row r="20" spans="1:10" s="1" customFormat="1" ht="30" x14ac:dyDescent="0.25">
      <c r="A20" s="1417">
        <v>3</v>
      </c>
      <c r="B20" s="1426" t="s">
        <v>780</v>
      </c>
      <c r="C20" s="1446">
        <v>3971652.75</v>
      </c>
      <c r="D20" s="1427">
        <v>3971652.75</v>
      </c>
      <c r="E20" s="1487" t="s">
        <v>844</v>
      </c>
      <c r="F20" s="1419">
        <f t="shared" si="2"/>
        <v>0</v>
      </c>
      <c r="G20" s="1419"/>
      <c r="H20" s="1419"/>
      <c r="I20" s="1419"/>
      <c r="J20" s="1428" t="s">
        <v>824</v>
      </c>
    </row>
    <row r="21" spans="1:10" s="1" customFormat="1" ht="30" x14ac:dyDescent="0.25">
      <c r="A21" s="1417">
        <v>4</v>
      </c>
      <c r="B21" s="1426" t="s">
        <v>780</v>
      </c>
      <c r="C21" s="1446">
        <v>7469955.6749999998</v>
      </c>
      <c r="D21" s="1427">
        <v>7469955.6749999998</v>
      </c>
      <c r="E21" s="1487" t="s">
        <v>844</v>
      </c>
      <c r="F21" s="1419">
        <f t="shared" si="2"/>
        <v>0</v>
      </c>
      <c r="G21" s="1419"/>
      <c r="H21" s="1419"/>
      <c r="I21" s="1419"/>
      <c r="J21" s="1428" t="s">
        <v>825</v>
      </c>
    </row>
    <row r="22" spans="1:10" s="1" customFormat="1" ht="30" x14ac:dyDescent="0.25">
      <c r="A22" s="1417">
        <v>5</v>
      </c>
      <c r="B22" s="1426" t="s">
        <v>781</v>
      </c>
      <c r="C22" s="1446">
        <v>1000000</v>
      </c>
      <c r="D22" s="1427">
        <v>1000000</v>
      </c>
      <c r="E22" s="1487" t="s">
        <v>701</v>
      </c>
      <c r="F22" s="1419">
        <f t="shared" si="2"/>
        <v>0</v>
      </c>
      <c r="G22" s="1419"/>
      <c r="H22" s="1419"/>
      <c r="I22" s="1419"/>
      <c r="J22" s="1428" t="s">
        <v>826</v>
      </c>
    </row>
    <row r="23" spans="1:10" s="1" customFormat="1" ht="30" x14ac:dyDescent="0.25">
      <c r="A23" s="1417">
        <v>6</v>
      </c>
      <c r="B23" s="1426" t="s">
        <v>780</v>
      </c>
      <c r="C23" s="1446">
        <v>3824536.284</v>
      </c>
      <c r="D23" s="1427">
        <v>3824536.284</v>
      </c>
      <c r="E23" s="1487" t="s">
        <v>844</v>
      </c>
      <c r="F23" s="1419">
        <f t="shared" si="2"/>
        <v>0</v>
      </c>
      <c r="G23" s="1419"/>
      <c r="H23" s="1419"/>
      <c r="I23" s="1419"/>
      <c r="J23" s="1428" t="s">
        <v>827</v>
      </c>
    </row>
    <row r="24" spans="1:10" s="1" customFormat="1" ht="31.5" customHeight="1" x14ac:dyDescent="0.25">
      <c r="A24" s="1417">
        <v>7</v>
      </c>
      <c r="B24" s="1426" t="s">
        <v>782</v>
      </c>
      <c r="C24" s="1446">
        <v>10000</v>
      </c>
      <c r="D24" s="1427">
        <v>10000</v>
      </c>
      <c r="E24" s="1487" t="s">
        <v>844</v>
      </c>
      <c r="F24" s="1419">
        <f t="shared" si="2"/>
        <v>0</v>
      </c>
      <c r="G24" s="1419"/>
      <c r="H24" s="1419"/>
      <c r="I24" s="1419"/>
      <c r="J24" s="1428" t="s">
        <v>828</v>
      </c>
    </row>
    <row r="25" spans="1:10" s="1" customFormat="1" ht="30" customHeight="1" x14ac:dyDescent="0.25">
      <c r="A25" s="1417">
        <v>8</v>
      </c>
      <c r="B25" s="1426" t="s">
        <v>783</v>
      </c>
      <c r="C25" s="1446">
        <v>500000</v>
      </c>
      <c r="D25" s="1427"/>
      <c r="E25" s="1487" t="s">
        <v>701</v>
      </c>
      <c r="F25" s="1419">
        <f t="shared" si="2"/>
        <v>500000</v>
      </c>
      <c r="G25" s="1419">
        <v>500000</v>
      </c>
      <c r="H25" s="1419"/>
      <c r="I25" s="1419"/>
      <c r="J25" s="1428" t="s">
        <v>829</v>
      </c>
    </row>
    <row r="26" spans="1:10" s="1" customFormat="1" ht="28.5" customHeight="1" x14ac:dyDescent="0.25">
      <c r="A26" s="1417">
        <v>9</v>
      </c>
      <c r="B26" s="1426" t="s">
        <v>784</v>
      </c>
      <c r="C26" s="1446">
        <v>553000</v>
      </c>
      <c r="D26" s="1429">
        <f>148420</f>
        <v>148420</v>
      </c>
      <c r="E26" s="1491" t="s">
        <v>701</v>
      </c>
      <c r="F26" s="1419">
        <f>C26-D26</f>
        <v>404580</v>
      </c>
      <c r="G26" s="1419">
        <v>400000</v>
      </c>
      <c r="H26" s="1419">
        <v>4580</v>
      </c>
      <c r="I26" s="1419"/>
      <c r="J26" s="1428" t="s">
        <v>830</v>
      </c>
    </row>
    <row r="27" spans="1:10" s="1" customFormat="1" ht="33" customHeight="1" x14ac:dyDescent="0.25">
      <c r="A27" s="1417">
        <v>10</v>
      </c>
      <c r="B27" s="1418" t="s">
        <v>638</v>
      </c>
      <c r="C27" s="1446">
        <v>390000</v>
      </c>
      <c r="D27" s="1427">
        <v>390000</v>
      </c>
      <c r="E27" s="1487" t="s">
        <v>844</v>
      </c>
      <c r="F27" s="1419">
        <f t="shared" si="2"/>
        <v>0</v>
      </c>
      <c r="G27" s="1419"/>
      <c r="H27" s="1419"/>
      <c r="I27" s="1419"/>
      <c r="J27" s="1428" t="s">
        <v>831</v>
      </c>
    </row>
    <row r="28" spans="1:10" s="1" customFormat="1" ht="27.75" customHeight="1" x14ac:dyDescent="0.25">
      <c r="A28" s="1417">
        <v>11</v>
      </c>
      <c r="B28" s="1426" t="s">
        <v>785</v>
      </c>
      <c r="C28" s="1446">
        <v>837245</v>
      </c>
      <c r="D28" s="1427">
        <v>837245</v>
      </c>
      <c r="E28" s="1487" t="s">
        <v>844</v>
      </c>
      <c r="F28" s="1419">
        <f t="shared" si="2"/>
        <v>0</v>
      </c>
      <c r="G28" s="1419"/>
      <c r="H28" s="1419"/>
      <c r="I28" s="1419"/>
      <c r="J28" s="1428" t="s">
        <v>832</v>
      </c>
    </row>
    <row r="29" spans="1:10" s="1" customFormat="1" ht="28.5" customHeight="1" x14ac:dyDescent="0.25">
      <c r="A29" s="1417">
        <v>12</v>
      </c>
      <c r="B29" s="1426" t="s">
        <v>786</v>
      </c>
      <c r="C29" s="1446">
        <v>98280</v>
      </c>
      <c r="D29" s="1427">
        <v>98280</v>
      </c>
      <c r="E29" s="1487" t="s">
        <v>844</v>
      </c>
      <c r="F29" s="1419">
        <f t="shared" si="2"/>
        <v>0</v>
      </c>
      <c r="G29" s="1419"/>
      <c r="H29" s="1419"/>
      <c r="I29" s="1419"/>
      <c r="J29" s="1428" t="s">
        <v>833</v>
      </c>
    </row>
    <row r="30" spans="1:10" s="1" customFormat="1" ht="27.75" customHeight="1" x14ac:dyDescent="0.25">
      <c r="A30" s="1417">
        <v>13</v>
      </c>
      <c r="B30" s="1426" t="s">
        <v>787</v>
      </c>
      <c r="C30" s="1446">
        <v>240000</v>
      </c>
      <c r="D30" s="1427">
        <v>240000</v>
      </c>
      <c r="E30" s="1487" t="s">
        <v>844</v>
      </c>
      <c r="F30" s="1419">
        <f t="shared" si="2"/>
        <v>0</v>
      </c>
      <c r="G30" s="1419"/>
      <c r="H30" s="1419"/>
      <c r="I30" s="1419"/>
      <c r="J30" s="1428" t="s">
        <v>834</v>
      </c>
    </row>
    <row r="31" spans="1:10" s="1" customFormat="1" ht="31.5" customHeight="1" x14ac:dyDescent="0.25">
      <c r="A31" s="1417">
        <v>14</v>
      </c>
      <c r="B31" s="1426" t="s">
        <v>788</v>
      </c>
      <c r="C31" s="1446">
        <v>60000</v>
      </c>
      <c r="D31" s="1427">
        <v>60000</v>
      </c>
      <c r="E31" s="1487" t="s">
        <v>844</v>
      </c>
      <c r="F31" s="1419">
        <f t="shared" si="2"/>
        <v>0</v>
      </c>
      <c r="G31" s="1419"/>
      <c r="H31" s="1419"/>
      <c r="I31" s="1419"/>
      <c r="J31" s="1428" t="s">
        <v>835</v>
      </c>
    </row>
    <row r="32" spans="1:10" s="1" customFormat="1" ht="29.25" customHeight="1" x14ac:dyDescent="0.25">
      <c r="A32" s="1417">
        <v>15</v>
      </c>
      <c r="B32" s="1426" t="s">
        <v>789</v>
      </c>
      <c r="C32" s="1446">
        <v>380000</v>
      </c>
      <c r="D32" s="1427">
        <v>380000</v>
      </c>
      <c r="E32" s="1487" t="s">
        <v>845</v>
      </c>
      <c r="F32" s="1419">
        <f t="shared" si="2"/>
        <v>0</v>
      </c>
      <c r="G32" s="1419"/>
      <c r="H32" s="1419"/>
      <c r="I32" s="1419"/>
      <c r="J32" s="1428" t="s">
        <v>836</v>
      </c>
    </row>
    <row r="33" spans="1:11" s="1" customFormat="1" ht="29.25" customHeight="1" x14ac:dyDescent="0.25">
      <c r="A33" s="1417">
        <v>16</v>
      </c>
      <c r="B33" s="1426" t="s">
        <v>785</v>
      </c>
      <c r="C33" s="1446">
        <v>88400</v>
      </c>
      <c r="D33" s="1427">
        <v>88400</v>
      </c>
      <c r="E33" s="1487" t="s">
        <v>844</v>
      </c>
      <c r="F33" s="1419">
        <f t="shared" si="2"/>
        <v>0</v>
      </c>
      <c r="G33" s="1419"/>
      <c r="H33" s="1419"/>
      <c r="I33" s="1419"/>
      <c r="J33" s="1428" t="s">
        <v>837</v>
      </c>
    </row>
    <row r="34" spans="1:11" s="1" customFormat="1" ht="37.5" customHeight="1" x14ac:dyDescent="0.25">
      <c r="A34" s="1417">
        <v>17</v>
      </c>
      <c r="B34" s="1426" t="s">
        <v>790</v>
      </c>
      <c r="C34" s="1446">
        <v>3718000</v>
      </c>
      <c r="D34" s="1427"/>
      <c r="E34" s="1487"/>
      <c r="F34" s="1419">
        <f t="shared" si="2"/>
        <v>3718000</v>
      </c>
      <c r="G34" s="1419">
        <v>3718000</v>
      </c>
      <c r="H34" s="1419"/>
      <c r="I34" s="1419"/>
      <c r="J34" s="1428" t="s">
        <v>838</v>
      </c>
    </row>
    <row r="35" spans="1:11" s="1" customFormat="1" ht="48.75" customHeight="1" x14ac:dyDescent="0.25">
      <c r="A35" s="1417">
        <v>18</v>
      </c>
      <c r="B35" s="1426" t="s">
        <v>791</v>
      </c>
      <c r="C35" s="1446">
        <v>6336000</v>
      </c>
      <c r="D35" s="1427">
        <v>6336000</v>
      </c>
      <c r="E35" s="1487" t="s">
        <v>846</v>
      </c>
      <c r="F35" s="1419">
        <f t="shared" si="2"/>
        <v>0</v>
      </c>
      <c r="G35" s="1419"/>
      <c r="H35" s="1419"/>
      <c r="I35" s="1419"/>
      <c r="J35" s="1428" t="s">
        <v>839</v>
      </c>
    </row>
    <row r="36" spans="1:11" s="1" customFormat="1" ht="48.75" customHeight="1" x14ac:dyDescent="0.25">
      <c r="A36" s="1417">
        <v>19</v>
      </c>
      <c r="B36" s="1426" t="s">
        <v>792</v>
      </c>
      <c r="C36" s="1446">
        <v>1676000</v>
      </c>
      <c r="D36" s="1427">
        <v>1676000</v>
      </c>
      <c r="E36" s="1487" t="s">
        <v>846</v>
      </c>
      <c r="F36" s="1419">
        <f t="shared" si="2"/>
        <v>0</v>
      </c>
      <c r="G36" s="1419"/>
      <c r="H36" s="1419"/>
      <c r="I36" s="1419"/>
      <c r="J36" s="1428" t="s">
        <v>840</v>
      </c>
    </row>
    <row r="37" spans="1:11" s="1" customFormat="1" ht="30" customHeight="1" x14ac:dyDescent="0.25">
      <c r="A37" s="1417">
        <v>20</v>
      </c>
      <c r="B37" s="1426" t="s">
        <v>793</v>
      </c>
      <c r="C37" s="1446">
        <v>5000000</v>
      </c>
      <c r="D37" s="1427"/>
      <c r="E37" s="1487"/>
      <c r="F37" s="1419">
        <f t="shared" si="2"/>
        <v>5000000</v>
      </c>
      <c r="G37" s="1419">
        <v>5000000</v>
      </c>
      <c r="H37" s="1419"/>
      <c r="I37" s="1419"/>
      <c r="J37" s="1428" t="s">
        <v>841</v>
      </c>
    </row>
    <row r="38" spans="1:11" s="1" customFormat="1" ht="22.5" customHeight="1" x14ac:dyDescent="0.25">
      <c r="A38" s="1431"/>
      <c r="B38" s="1432"/>
      <c r="C38" s="1447"/>
      <c r="D38" s="1433"/>
      <c r="E38" s="1434"/>
      <c r="F38" s="1434"/>
      <c r="G38" s="1434"/>
      <c r="H38" s="1434"/>
      <c r="I38" s="1434"/>
      <c r="J38" s="1435"/>
    </row>
    <row r="39" spans="1:11" s="1" customFormat="1" ht="22.5" customHeight="1" x14ac:dyDescent="0.25">
      <c r="A39" s="1431"/>
      <c r="B39" s="1432"/>
      <c r="C39" s="1447"/>
      <c r="D39" s="1433"/>
      <c r="E39" s="1434"/>
      <c r="F39" s="1434"/>
      <c r="G39" s="1434"/>
      <c r="H39" s="1434"/>
      <c r="I39" s="1434"/>
      <c r="J39" s="1435"/>
    </row>
    <row r="40" spans="1:11" s="39" customFormat="1" x14ac:dyDescent="0.25">
      <c r="B40" s="1430"/>
      <c r="C40" s="1448"/>
      <c r="D40" s="1430"/>
      <c r="E40" s="2011" t="s">
        <v>854</v>
      </c>
      <c r="F40" s="2011"/>
      <c r="G40" s="2011"/>
      <c r="H40" s="2011"/>
      <c r="I40" s="2011"/>
      <c r="J40" s="2011"/>
      <c r="K40" s="2011"/>
    </row>
    <row r="41" spans="1:11" s="39" customFormat="1" x14ac:dyDescent="0.25">
      <c r="A41" s="2012"/>
      <c r="B41" s="2012"/>
      <c r="C41" s="2012"/>
      <c r="D41" s="1430"/>
      <c r="E41" s="2012" t="s">
        <v>775</v>
      </c>
      <c r="F41" s="2012"/>
      <c r="G41" s="2012"/>
      <c r="H41" s="2012"/>
      <c r="I41" s="2012"/>
      <c r="J41" s="2012"/>
      <c r="K41" s="2012"/>
    </row>
    <row r="42" spans="1:11" s="39" customFormat="1" x14ac:dyDescent="0.25">
      <c r="C42" s="350"/>
      <c r="E42" s="2013" t="s">
        <v>14</v>
      </c>
      <c r="F42" s="2013"/>
      <c r="G42" s="2013"/>
      <c r="H42" s="2013"/>
      <c r="I42" s="2013"/>
      <c r="J42" s="2013"/>
      <c r="K42" s="2013"/>
    </row>
    <row r="43" spans="1:11" s="39" customFormat="1" x14ac:dyDescent="0.25">
      <c r="C43" s="350"/>
    </row>
    <row r="44" spans="1:11" s="39" customFormat="1" x14ac:dyDescent="0.25">
      <c r="C44" s="350"/>
    </row>
    <row r="45" spans="1:11" s="39" customFormat="1" x14ac:dyDescent="0.25">
      <c r="C45" s="350"/>
    </row>
    <row r="46" spans="1:11" s="39" customFormat="1" x14ac:dyDescent="0.25">
      <c r="C46" s="350"/>
    </row>
    <row r="47" spans="1:11" s="39" customFormat="1" x14ac:dyDescent="0.25">
      <c r="C47" s="350"/>
    </row>
    <row r="48" spans="1:11" s="39" customFormat="1" x14ac:dyDescent="0.25">
      <c r="C48" s="350"/>
      <c r="E48" s="2010" t="s">
        <v>460</v>
      </c>
      <c r="F48" s="2010"/>
      <c r="G48" s="2010"/>
      <c r="H48" s="2010"/>
      <c r="I48" s="2010"/>
      <c r="J48" s="2010"/>
      <c r="K48" s="2010"/>
    </row>
    <row r="49" spans="3:3" s="39" customFormat="1" x14ac:dyDescent="0.25">
      <c r="C49" s="350"/>
    </row>
    <row r="50" spans="3:3" s="39" customFormat="1" x14ac:dyDescent="0.25">
      <c r="C50" s="350"/>
    </row>
    <row r="51" spans="3:3" s="39" customFormat="1" x14ac:dyDescent="0.25">
      <c r="C51" s="350"/>
    </row>
    <row r="52" spans="3:3" s="39" customFormat="1" x14ac:dyDescent="0.25">
      <c r="C52" s="350"/>
    </row>
    <row r="53" spans="3:3" s="39" customFormat="1" x14ac:dyDescent="0.25">
      <c r="C53" s="350"/>
    </row>
    <row r="54" spans="3:3" s="39" customFormat="1" x14ac:dyDescent="0.25">
      <c r="C54" s="350"/>
    </row>
    <row r="55" spans="3:3" s="39" customFormat="1" x14ac:dyDescent="0.25">
      <c r="C55" s="350"/>
    </row>
    <row r="56" spans="3:3" s="39" customFormat="1" x14ac:dyDescent="0.25">
      <c r="C56" s="350"/>
    </row>
    <row r="57" spans="3:3" s="39" customFormat="1" x14ac:dyDescent="0.25">
      <c r="C57" s="350"/>
    </row>
    <row r="58" spans="3:3" s="39" customFormat="1" x14ac:dyDescent="0.25">
      <c r="C58" s="350"/>
    </row>
    <row r="59" spans="3:3" s="39" customFormat="1" x14ac:dyDescent="0.25">
      <c r="C59" s="350"/>
    </row>
    <row r="60" spans="3:3" s="39" customFormat="1" x14ac:dyDescent="0.25">
      <c r="C60" s="350"/>
    </row>
    <row r="61" spans="3:3" s="39" customFormat="1" x14ac:dyDescent="0.25">
      <c r="C61" s="350"/>
    </row>
    <row r="62" spans="3:3" s="39" customFormat="1" x14ac:dyDescent="0.25">
      <c r="C62" s="350"/>
    </row>
  </sheetData>
  <mergeCells count="21">
    <mergeCell ref="E48:K48"/>
    <mergeCell ref="E40:K40"/>
    <mergeCell ref="A41:C41"/>
    <mergeCell ref="E41:K41"/>
    <mergeCell ref="E42:K42"/>
    <mergeCell ref="I1:J1"/>
    <mergeCell ref="A3:J3"/>
    <mergeCell ref="H5:J5"/>
    <mergeCell ref="A6:A8"/>
    <mergeCell ref="B6:B8"/>
    <mergeCell ref="C6:C8"/>
    <mergeCell ref="D6:E6"/>
    <mergeCell ref="F6:F8"/>
    <mergeCell ref="G6:I6"/>
    <mergeCell ref="J6:J8"/>
    <mergeCell ref="A4:J4"/>
    <mergeCell ref="D7:D8"/>
    <mergeCell ref="E7:E8"/>
    <mergeCell ref="G7:G8"/>
    <mergeCell ref="H7:H8"/>
    <mergeCell ref="I7:I8"/>
  </mergeCells>
  <printOptions horizontalCentered="1"/>
  <pageMargins left="0.24" right="0.25" top="0.39" bottom="0.31" header="0.3" footer="0.3"/>
  <pageSetup paperSize="9" scale="85" orientation="landscape"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B12" sqref="B12"/>
    </sheetView>
  </sheetViews>
  <sheetFormatPr defaultRowHeight="16.5" x14ac:dyDescent="0.25"/>
  <cols>
    <col min="1" max="1" width="7.7109375" style="1299" customWidth="1"/>
    <col min="2" max="2" width="47.42578125" style="1299" customWidth="1"/>
    <col min="3" max="3" width="43.7109375" style="1299" customWidth="1"/>
    <col min="4" max="256" width="9.140625" style="1299"/>
    <col min="257" max="257" width="7.7109375" style="1299" customWidth="1"/>
    <col min="258" max="258" width="55.85546875" style="1299" customWidth="1"/>
    <col min="259" max="259" width="43.7109375" style="1299" customWidth="1"/>
    <col min="260" max="512" width="9.140625" style="1299"/>
    <col min="513" max="513" width="7.7109375" style="1299" customWidth="1"/>
    <col min="514" max="514" width="55.85546875" style="1299" customWidth="1"/>
    <col min="515" max="515" width="43.7109375" style="1299" customWidth="1"/>
    <col min="516" max="768" width="9.140625" style="1299"/>
    <col min="769" max="769" width="7.7109375" style="1299" customWidth="1"/>
    <col min="770" max="770" width="55.85546875" style="1299" customWidth="1"/>
    <col min="771" max="771" width="43.7109375" style="1299" customWidth="1"/>
    <col min="772" max="1024" width="9.140625" style="1299"/>
    <col min="1025" max="1025" width="7.7109375" style="1299" customWidth="1"/>
    <col min="1026" max="1026" width="55.85546875" style="1299" customWidth="1"/>
    <col min="1027" max="1027" width="43.7109375" style="1299" customWidth="1"/>
    <col min="1028" max="1280" width="9.140625" style="1299"/>
    <col min="1281" max="1281" width="7.7109375" style="1299" customWidth="1"/>
    <col min="1282" max="1282" width="55.85546875" style="1299" customWidth="1"/>
    <col min="1283" max="1283" width="43.7109375" style="1299" customWidth="1"/>
    <col min="1284" max="1536" width="9.140625" style="1299"/>
    <col min="1537" max="1537" width="7.7109375" style="1299" customWidth="1"/>
    <col min="1538" max="1538" width="55.85546875" style="1299" customWidth="1"/>
    <col min="1539" max="1539" width="43.7109375" style="1299" customWidth="1"/>
    <col min="1540" max="1792" width="9.140625" style="1299"/>
    <col min="1793" max="1793" width="7.7109375" style="1299" customWidth="1"/>
    <col min="1794" max="1794" width="55.85546875" style="1299" customWidth="1"/>
    <col min="1795" max="1795" width="43.7109375" style="1299" customWidth="1"/>
    <col min="1796" max="2048" width="9.140625" style="1299"/>
    <col min="2049" max="2049" width="7.7109375" style="1299" customWidth="1"/>
    <col min="2050" max="2050" width="55.85546875" style="1299" customWidth="1"/>
    <col min="2051" max="2051" width="43.7109375" style="1299" customWidth="1"/>
    <col min="2052" max="2304" width="9.140625" style="1299"/>
    <col min="2305" max="2305" width="7.7109375" style="1299" customWidth="1"/>
    <col min="2306" max="2306" width="55.85546875" style="1299" customWidth="1"/>
    <col min="2307" max="2307" width="43.7109375" style="1299" customWidth="1"/>
    <col min="2308" max="2560" width="9.140625" style="1299"/>
    <col min="2561" max="2561" width="7.7109375" style="1299" customWidth="1"/>
    <col min="2562" max="2562" width="55.85546875" style="1299" customWidth="1"/>
    <col min="2563" max="2563" width="43.7109375" style="1299" customWidth="1"/>
    <col min="2564" max="2816" width="9.140625" style="1299"/>
    <col min="2817" max="2817" width="7.7109375" style="1299" customWidth="1"/>
    <col min="2818" max="2818" width="55.85546875" style="1299" customWidth="1"/>
    <col min="2819" max="2819" width="43.7109375" style="1299" customWidth="1"/>
    <col min="2820" max="3072" width="9.140625" style="1299"/>
    <col min="3073" max="3073" width="7.7109375" style="1299" customWidth="1"/>
    <col min="3074" max="3074" width="55.85546875" style="1299" customWidth="1"/>
    <col min="3075" max="3075" width="43.7109375" style="1299" customWidth="1"/>
    <col min="3076" max="3328" width="9.140625" style="1299"/>
    <col min="3329" max="3329" width="7.7109375" style="1299" customWidth="1"/>
    <col min="3330" max="3330" width="55.85546875" style="1299" customWidth="1"/>
    <col min="3331" max="3331" width="43.7109375" style="1299" customWidth="1"/>
    <col min="3332" max="3584" width="9.140625" style="1299"/>
    <col min="3585" max="3585" width="7.7109375" style="1299" customWidth="1"/>
    <col min="3586" max="3586" width="55.85546875" style="1299" customWidth="1"/>
    <col min="3587" max="3587" width="43.7109375" style="1299" customWidth="1"/>
    <col min="3588" max="3840" width="9.140625" style="1299"/>
    <col min="3841" max="3841" width="7.7109375" style="1299" customWidth="1"/>
    <col min="3842" max="3842" width="55.85546875" style="1299" customWidth="1"/>
    <col min="3843" max="3843" width="43.7109375" style="1299" customWidth="1"/>
    <col min="3844" max="4096" width="9.140625" style="1299"/>
    <col min="4097" max="4097" width="7.7109375" style="1299" customWidth="1"/>
    <col min="4098" max="4098" width="55.85546875" style="1299" customWidth="1"/>
    <col min="4099" max="4099" width="43.7109375" style="1299" customWidth="1"/>
    <col min="4100" max="4352" width="9.140625" style="1299"/>
    <col min="4353" max="4353" width="7.7109375" style="1299" customWidth="1"/>
    <col min="4354" max="4354" width="55.85546875" style="1299" customWidth="1"/>
    <col min="4355" max="4355" width="43.7109375" style="1299" customWidth="1"/>
    <col min="4356" max="4608" width="9.140625" style="1299"/>
    <col min="4609" max="4609" width="7.7109375" style="1299" customWidth="1"/>
    <col min="4610" max="4610" width="55.85546875" style="1299" customWidth="1"/>
    <col min="4611" max="4611" width="43.7109375" style="1299" customWidth="1"/>
    <col min="4612" max="4864" width="9.140625" style="1299"/>
    <col min="4865" max="4865" width="7.7109375" style="1299" customWidth="1"/>
    <col min="4866" max="4866" width="55.85546875" style="1299" customWidth="1"/>
    <col min="4867" max="4867" width="43.7109375" style="1299" customWidth="1"/>
    <col min="4868" max="5120" width="9.140625" style="1299"/>
    <col min="5121" max="5121" width="7.7109375" style="1299" customWidth="1"/>
    <col min="5122" max="5122" width="55.85546875" style="1299" customWidth="1"/>
    <col min="5123" max="5123" width="43.7109375" style="1299" customWidth="1"/>
    <col min="5124" max="5376" width="9.140625" style="1299"/>
    <col min="5377" max="5377" width="7.7109375" style="1299" customWidth="1"/>
    <col min="5378" max="5378" width="55.85546875" style="1299" customWidth="1"/>
    <col min="5379" max="5379" width="43.7109375" style="1299" customWidth="1"/>
    <col min="5380" max="5632" width="9.140625" style="1299"/>
    <col min="5633" max="5633" width="7.7109375" style="1299" customWidth="1"/>
    <col min="5634" max="5634" width="55.85546875" style="1299" customWidth="1"/>
    <col min="5635" max="5635" width="43.7109375" style="1299" customWidth="1"/>
    <col min="5636" max="5888" width="9.140625" style="1299"/>
    <col min="5889" max="5889" width="7.7109375" style="1299" customWidth="1"/>
    <col min="5890" max="5890" width="55.85546875" style="1299" customWidth="1"/>
    <col min="5891" max="5891" width="43.7109375" style="1299" customWidth="1"/>
    <col min="5892" max="6144" width="9.140625" style="1299"/>
    <col min="6145" max="6145" width="7.7109375" style="1299" customWidth="1"/>
    <col min="6146" max="6146" width="55.85546875" style="1299" customWidth="1"/>
    <col min="6147" max="6147" width="43.7109375" style="1299" customWidth="1"/>
    <col min="6148" max="6400" width="9.140625" style="1299"/>
    <col min="6401" max="6401" width="7.7109375" style="1299" customWidth="1"/>
    <col min="6402" max="6402" width="55.85546875" style="1299" customWidth="1"/>
    <col min="6403" max="6403" width="43.7109375" style="1299" customWidth="1"/>
    <col min="6404" max="6656" width="9.140625" style="1299"/>
    <col min="6657" max="6657" width="7.7109375" style="1299" customWidth="1"/>
    <col min="6658" max="6658" width="55.85546875" style="1299" customWidth="1"/>
    <col min="6659" max="6659" width="43.7109375" style="1299" customWidth="1"/>
    <col min="6660" max="6912" width="9.140625" style="1299"/>
    <col min="6913" max="6913" width="7.7109375" style="1299" customWidth="1"/>
    <col min="6914" max="6914" width="55.85546875" style="1299" customWidth="1"/>
    <col min="6915" max="6915" width="43.7109375" style="1299" customWidth="1"/>
    <col min="6916" max="7168" width="9.140625" style="1299"/>
    <col min="7169" max="7169" width="7.7109375" style="1299" customWidth="1"/>
    <col min="7170" max="7170" width="55.85546875" style="1299" customWidth="1"/>
    <col min="7171" max="7171" width="43.7109375" style="1299" customWidth="1"/>
    <col min="7172" max="7424" width="9.140625" style="1299"/>
    <col min="7425" max="7425" width="7.7109375" style="1299" customWidth="1"/>
    <col min="7426" max="7426" width="55.85546875" style="1299" customWidth="1"/>
    <col min="7427" max="7427" width="43.7109375" style="1299" customWidth="1"/>
    <col min="7428" max="7680" width="9.140625" style="1299"/>
    <col min="7681" max="7681" width="7.7109375" style="1299" customWidth="1"/>
    <col min="7682" max="7682" width="55.85546875" style="1299" customWidth="1"/>
    <col min="7683" max="7683" width="43.7109375" style="1299" customWidth="1"/>
    <col min="7684" max="7936" width="9.140625" style="1299"/>
    <col min="7937" max="7937" width="7.7109375" style="1299" customWidth="1"/>
    <col min="7938" max="7938" width="55.85546875" style="1299" customWidth="1"/>
    <col min="7939" max="7939" width="43.7109375" style="1299" customWidth="1"/>
    <col min="7940" max="8192" width="9.140625" style="1299"/>
    <col min="8193" max="8193" width="7.7109375" style="1299" customWidth="1"/>
    <col min="8194" max="8194" width="55.85546875" style="1299" customWidth="1"/>
    <col min="8195" max="8195" width="43.7109375" style="1299" customWidth="1"/>
    <col min="8196" max="8448" width="9.140625" style="1299"/>
    <col min="8449" max="8449" width="7.7109375" style="1299" customWidth="1"/>
    <col min="8450" max="8450" width="55.85546875" style="1299" customWidth="1"/>
    <col min="8451" max="8451" width="43.7109375" style="1299" customWidth="1"/>
    <col min="8452" max="8704" width="9.140625" style="1299"/>
    <col min="8705" max="8705" width="7.7109375" style="1299" customWidth="1"/>
    <col min="8706" max="8706" width="55.85546875" style="1299" customWidth="1"/>
    <col min="8707" max="8707" width="43.7109375" style="1299" customWidth="1"/>
    <col min="8708" max="8960" width="9.140625" style="1299"/>
    <col min="8961" max="8961" width="7.7109375" style="1299" customWidth="1"/>
    <col min="8962" max="8962" width="55.85546875" style="1299" customWidth="1"/>
    <col min="8963" max="8963" width="43.7109375" style="1299" customWidth="1"/>
    <col min="8964" max="9216" width="9.140625" style="1299"/>
    <col min="9217" max="9217" width="7.7109375" style="1299" customWidth="1"/>
    <col min="9218" max="9218" width="55.85546875" style="1299" customWidth="1"/>
    <col min="9219" max="9219" width="43.7109375" style="1299" customWidth="1"/>
    <col min="9220" max="9472" width="9.140625" style="1299"/>
    <col min="9473" max="9473" width="7.7109375" style="1299" customWidth="1"/>
    <col min="9474" max="9474" width="55.85546875" style="1299" customWidth="1"/>
    <col min="9475" max="9475" width="43.7109375" style="1299" customWidth="1"/>
    <col min="9476" max="9728" width="9.140625" style="1299"/>
    <col min="9729" max="9729" width="7.7109375" style="1299" customWidth="1"/>
    <col min="9730" max="9730" width="55.85546875" style="1299" customWidth="1"/>
    <col min="9731" max="9731" width="43.7109375" style="1299" customWidth="1"/>
    <col min="9732" max="9984" width="9.140625" style="1299"/>
    <col min="9985" max="9985" width="7.7109375" style="1299" customWidth="1"/>
    <col min="9986" max="9986" width="55.85546875" style="1299" customWidth="1"/>
    <col min="9987" max="9987" width="43.7109375" style="1299" customWidth="1"/>
    <col min="9988" max="10240" width="9.140625" style="1299"/>
    <col min="10241" max="10241" width="7.7109375" style="1299" customWidth="1"/>
    <col min="10242" max="10242" width="55.85546875" style="1299" customWidth="1"/>
    <col min="10243" max="10243" width="43.7109375" style="1299" customWidth="1"/>
    <col min="10244" max="10496" width="9.140625" style="1299"/>
    <col min="10497" max="10497" width="7.7109375" style="1299" customWidth="1"/>
    <col min="10498" max="10498" width="55.85546875" style="1299" customWidth="1"/>
    <col min="10499" max="10499" width="43.7109375" style="1299" customWidth="1"/>
    <col min="10500" max="10752" width="9.140625" style="1299"/>
    <col min="10753" max="10753" width="7.7109375" style="1299" customWidth="1"/>
    <col min="10754" max="10754" width="55.85546875" style="1299" customWidth="1"/>
    <col min="10755" max="10755" width="43.7109375" style="1299" customWidth="1"/>
    <col min="10756" max="11008" width="9.140625" style="1299"/>
    <col min="11009" max="11009" width="7.7109375" style="1299" customWidth="1"/>
    <col min="11010" max="11010" width="55.85546875" style="1299" customWidth="1"/>
    <col min="11011" max="11011" width="43.7109375" style="1299" customWidth="1"/>
    <col min="11012" max="11264" width="9.140625" style="1299"/>
    <col min="11265" max="11265" width="7.7109375" style="1299" customWidth="1"/>
    <col min="11266" max="11266" width="55.85546875" style="1299" customWidth="1"/>
    <col min="11267" max="11267" width="43.7109375" style="1299" customWidth="1"/>
    <col min="11268" max="11520" width="9.140625" style="1299"/>
    <col min="11521" max="11521" width="7.7109375" style="1299" customWidth="1"/>
    <col min="11522" max="11522" width="55.85546875" style="1299" customWidth="1"/>
    <col min="11523" max="11523" width="43.7109375" style="1299" customWidth="1"/>
    <col min="11524" max="11776" width="9.140625" style="1299"/>
    <col min="11777" max="11777" width="7.7109375" style="1299" customWidth="1"/>
    <col min="11778" max="11778" width="55.85546875" style="1299" customWidth="1"/>
    <col min="11779" max="11779" width="43.7109375" style="1299" customWidth="1"/>
    <col min="11780" max="12032" width="9.140625" style="1299"/>
    <col min="12033" max="12033" width="7.7109375" style="1299" customWidth="1"/>
    <col min="12034" max="12034" width="55.85546875" style="1299" customWidth="1"/>
    <col min="12035" max="12035" width="43.7109375" style="1299" customWidth="1"/>
    <col min="12036" max="12288" width="9.140625" style="1299"/>
    <col min="12289" max="12289" width="7.7109375" style="1299" customWidth="1"/>
    <col min="12290" max="12290" width="55.85546875" style="1299" customWidth="1"/>
    <col min="12291" max="12291" width="43.7109375" style="1299" customWidth="1"/>
    <col min="12292" max="12544" width="9.140625" style="1299"/>
    <col min="12545" max="12545" width="7.7109375" style="1299" customWidth="1"/>
    <col min="12546" max="12546" width="55.85546875" style="1299" customWidth="1"/>
    <col min="12547" max="12547" width="43.7109375" style="1299" customWidth="1"/>
    <col min="12548" max="12800" width="9.140625" style="1299"/>
    <col min="12801" max="12801" width="7.7109375" style="1299" customWidth="1"/>
    <col min="12802" max="12802" width="55.85546875" style="1299" customWidth="1"/>
    <col min="12803" max="12803" width="43.7109375" style="1299" customWidth="1"/>
    <col min="12804" max="13056" width="9.140625" style="1299"/>
    <col min="13057" max="13057" width="7.7109375" style="1299" customWidth="1"/>
    <col min="13058" max="13058" width="55.85546875" style="1299" customWidth="1"/>
    <col min="13059" max="13059" width="43.7109375" style="1299" customWidth="1"/>
    <col min="13060" max="13312" width="9.140625" style="1299"/>
    <col min="13313" max="13313" width="7.7109375" style="1299" customWidth="1"/>
    <col min="13314" max="13314" width="55.85546875" style="1299" customWidth="1"/>
    <col min="13315" max="13315" width="43.7109375" style="1299" customWidth="1"/>
    <col min="13316" max="13568" width="9.140625" style="1299"/>
    <col min="13569" max="13569" width="7.7109375" style="1299" customWidth="1"/>
    <col min="13570" max="13570" width="55.85546875" style="1299" customWidth="1"/>
    <col min="13571" max="13571" width="43.7109375" style="1299" customWidth="1"/>
    <col min="13572" max="13824" width="9.140625" style="1299"/>
    <col min="13825" max="13825" width="7.7109375" style="1299" customWidth="1"/>
    <col min="13826" max="13826" width="55.85546875" style="1299" customWidth="1"/>
    <col min="13827" max="13827" width="43.7109375" style="1299" customWidth="1"/>
    <col min="13828" max="14080" width="9.140625" style="1299"/>
    <col min="14081" max="14081" width="7.7109375" style="1299" customWidth="1"/>
    <col min="14082" max="14082" width="55.85546875" style="1299" customWidth="1"/>
    <col min="14083" max="14083" width="43.7109375" style="1299" customWidth="1"/>
    <col min="14084" max="14336" width="9.140625" style="1299"/>
    <col min="14337" max="14337" width="7.7109375" style="1299" customWidth="1"/>
    <col min="14338" max="14338" width="55.85546875" style="1299" customWidth="1"/>
    <col min="14339" max="14339" width="43.7109375" style="1299" customWidth="1"/>
    <col min="14340" max="14592" width="9.140625" style="1299"/>
    <col min="14593" max="14593" width="7.7109375" style="1299" customWidth="1"/>
    <col min="14594" max="14594" width="55.85546875" style="1299" customWidth="1"/>
    <col min="14595" max="14595" width="43.7109375" style="1299" customWidth="1"/>
    <col min="14596" max="14848" width="9.140625" style="1299"/>
    <col min="14849" max="14849" width="7.7109375" style="1299" customWidth="1"/>
    <col min="14850" max="14850" width="55.85546875" style="1299" customWidth="1"/>
    <col min="14851" max="14851" width="43.7109375" style="1299" customWidth="1"/>
    <col min="14852" max="15104" width="9.140625" style="1299"/>
    <col min="15105" max="15105" width="7.7109375" style="1299" customWidth="1"/>
    <col min="15106" max="15106" width="55.85546875" style="1299" customWidth="1"/>
    <col min="15107" max="15107" width="43.7109375" style="1299" customWidth="1"/>
    <col min="15108" max="15360" width="9.140625" style="1299"/>
    <col min="15361" max="15361" width="7.7109375" style="1299" customWidth="1"/>
    <col min="15362" max="15362" width="55.85546875" style="1299" customWidth="1"/>
    <col min="15363" max="15363" width="43.7109375" style="1299" customWidth="1"/>
    <col min="15364" max="15616" width="9.140625" style="1299"/>
    <col min="15617" max="15617" width="7.7109375" style="1299" customWidth="1"/>
    <col min="15618" max="15618" width="55.85546875" style="1299" customWidth="1"/>
    <col min="15619" max="15619" width="43.7109375" style="1299" customWidth="1"/>
    <col min="15620" max="15872" width="9.140625" style="1299"/>
    <col min="15873" max="15873" width="7.7109375" style="1299" customWidth="1"/>
    <col min="15874" max="15874" width="55.85546875" style="1299" customWidth="1"/>
    <col min="15875" max="15875" width="43.7109375" style="1299" customWidth="1"/>
    <col min="15876" max="16128" width="9.140625" style="1299"/>
    <col min="16129" max="16129" width="7.7109375" style="1299" customWidth="1"/>
    <col min="16130" max="16130" width="55.85546875" style="1299" customWidth="1"/>
    <col min="16131" max="16131" width="43.7109375" style="1299" customWidth="1"/>
    <col min="16132" max="16384" width="9.140625" style="1299"/>
  </cols>
  <sheetData>
    <row r="1" spans="1:4" s="1294" customFormat="1" ht="25.5" customHeight="1" x14ac:dyDescent="0.25">
      <c r="A1" s="2014" t="str">
        <f>'48N'!A1</f>
        <v>UBND PHƯỜNG ĐỨC XUÂN</v>
      </c>
      <c r="B1" s="2014"/>
      <c r="C1" s="1449" t="s">
        <v>722</v>
      </c>
    </row>
    <row r="2" spans="1:4" s="1294" customFormat="1" x14ac:dyDescent="0.25"/>
    <row r="3" spans="1:4" s="1294" customFormat="1" ht="18.75" x14ac:dyDescent="0.25">
      <c r="A3" s="2015" t="s">
        <v>803</v>
      </c>
      <c r="B3" s="2015"/>
      <c r="C3" s="2015"/>
    </row>
    <row r="4" spans="1:4" s="1294" customFormat="1" ht="21.75" customHeight="1" x14ac:dyDescent="0.25">
      <c r="A4" s="1772" t="str">
        <f>'48N'!A4:F4</f>
        <v>(Kèm theo Tờ trình số    /TTr-KTHT&amp;ĐT ngày      /4/2026 của phòng KTHT&amp;ĐT phường Đức Xuân)</v>
      </c>
      <c r="B4" s="1772"/>
      <c r="C4" s="1772"/>
    </row>
    <row r="5" spans="1:4" s="1294" customFormat="1" ht="24" customHeight="1" x14ac:dyDescent="0.25">
      <c r="B5" s="2016" t="s">
        <v>715</v>
      </c>
      <c r="C5" s="2016"/>
    </row>
    <row r="6" spans="1:4" s="1294" customFormat="1" x14ac:dyDescent="0.25">
      <c r="A6" s="2017" t="s">
        <v>1</v>
      </c>
      <c r="B6" s="2017" t="s">
        <v>2</v>
      </c>
      <c r="C6" s="2017" t="s">
        <v>723</v>
      </c>
    </row>
    <row r="7" spans="1:4" s="1294" customFormat="1" x14ac:dyDescent="0.25">
      <c r="A7" s="2018"/>
      <c r="B7" s="2018"/>
      <c r="C7" s="2018"/>
    </row>
    <row r="8" spans="1:4" s="1296" customFormat="1" ht="24.75" customHeight="1" x14ac:dyDescent="0.25">
      <c r="A8" s="1295" t="s">
        <v>4</v>
      </c>
      <c r="B8" s="1295" t="s">
        <v>5</v>
      </c>
      <c r="C8" s="1295" t="s">
        <v>42</v>
      </c>
    </row>
    <row r="9" spans="1:4" s="1294" customFormat="1" ht="38.25" customHeight="1" x14ac:dyDescent="0.25">
      <c r="A9" s="1295"/>
      <c r="B9" s="1451" t="s">
        <v>847</v>
      </c>
      <c r="C9" s="1492">
        <v>400</v>
      </c>
    </row>
    <row r="10" spans="1:4" s="1294" customFormat="1" ht="38.25" customHeight="1" x14ac:dyDescent="0.25">
      <c r="A10" s="1295"/>
      <c r="B10" s="1451" t="s">
        <v>848</v>
      </c>
      <c r="C10" s="1492">
        <v>311262.02799999999</v>
      </c>
    </row>
    <row r="11" spans="1:4" s="1294" customFormat="1" ht="38.25" customHeight="1" x14ac:dyDescent="0.25">
      <c r="A11" s="1295"/>
      <c r="B11" s="1451" t="s">
        <v>849</v>
      </c>
      <c r="C11" s="1492">
        <v>2500</v>
      </c>
    </row>
    <row r="12" spans="1:4" s="1294" customFormat="1" ht="38.25" customHeight="1" x14ac:dyDescent="0.25">
      <c r="A12" s="1295"/>
      <c r="B12" s="1451" t="s">
        <v>850</v>
      </c>
      <c r="C12" s="1492">
        <v>15158.099</v>
      </c>
    </row>
    <row r="13" spans="1:4" s="1302" customFormat="1" ht="24.75" customHeight="1" x14ac:dyDescent="0.25">
      <c r="A13" s="1450"/>
      <c r="B13" s="1439" t="s">
        <v>317</v>
      </c>
      <c r="C13" s="1493">
        <f>SUM(C9:C12)</f>
        <v>329320.12699999998</v>
      </c>
    </row>
    <row r="15" spans="1:4" ht="19.5" customHeight="1" x14ac:dyDescent="0.25">
      <c r="B15" s="1300"/>
      <c r="C15" s="1438" t="s">
        <v>854</v>
      </c>
      <c r="D15" s="1300"/>
    </row>
    <row r="16" spans="1:4" ht="33" x14ac:dyDescent="0.25">
      <c r="B16" s="1301"/>
      <c r="C16" s="1494" t="s">
        <v>775</v>
      </c>
      <c r="D16" s="1301"/>
    </row>
    <row r="17" spans="2:3" x14ac:dyDescent="0.25">
      <c r="B17" s="1375"/>
      <c r="C17" s="1437" t="s">
        <v>14</v>
      </c>
    </row>
    <row r="23" spans="2:3" x14ac:dyDescent="0.25">
      <c r="C23" s="1436" t="s">
        <v>460</v>
      </c>
    </row>
  </sheetData>
  <mergeCells count="7">
    <mergeCell ref="A1:B1"/>
    <mergeCell ref="A3:C3"/>
    <mergeCell ref="B5:C5"/>
    <mergeCell ref="A6:A7"/>
    <mergeCell ref="B6:B7"/>
    <mergeCell ref="C6:C7"/>
    <mergeCell ref="A4:C4"/>
  </mergeCells>
  <printOptions horizontalCentered="1"/>
  <pageMargins left="0.28000000000000003" right="0.21" top="0.75" bottom="0.75" header="0.3" footer="0.3"/>
  <pageSetup paperSize="9"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C13" sqref="C13:F13"/>
    </sheetView>
  </sheetViews>
  <sheetFormatPr defaultRowHeight="16.5" x14ac:dyDescent="0.25"/>
  <cols>
    <col min="1" max="1" width="6.5703125" style="1294" customWidth="1"/>
    <col min="2" max="2" width="41" style="1294" customWidth="1"/>
    <col min="3" max="3" width="16.140625" style="1294" customWidth="1"/>
    <col min="4" max="4" width="19.28515625" style="1294" customWidth="1"/>
    <col min="5" max="5" width="13" style="1294" hidden="1" customWidth="1"/>
    <col min="6" max="6" width="20.85546875" style="1294" customWidth="1"/>
    <col min="7" max="257" width="9.140625" style="1294"/>
    <col min="258" max="258" width="30.7109375" style="1294" customWidth="1"/>
    <col min="259" max="260" width="13" style="1294" customWidth="1"/>
    <col min="261" max="261" width="0" style="1294" hidden="1" customWidth="1"/>
    <col min="262" max="262" width="13" style="1294" customWidth="1"/>
    <col min="263" max="513" width="9.140625" style="1294"/>
    <col min="514" max="514" width="30.7109375" style="1294" customWidth="1"/>
    <col min="515" max="516" width="13" style="1294" customWidth="1"/>
    <col min="517" max="517" width="0" style="1294" hidden="1" customWidth="1"/>
    <col min="518" max="518" width="13" style="1294" customWidth="1"/>
    <col min="519" max="769" width="9.140625" style="1294"/>
    <col min="770" max="770" width="30.7109375" style="1294" customWidth="1"/>
    <col min="771" max="772" width="13" style="1294" customWidth="1"/>
    <col min="773" max="773" width="0" style="1294" hidden="1" customWidth="1"/>
    <col min="774" max="774" width="13" style="1294" customWidth="1"/>
    <col min="775" max="1025" width="9.140625" style="1294"/>
    <col min="1026" max="1026" width="30.7109375" style="1294" customWidth="1"/>
    <col min="1027" max="1028" width="13" style="1294" customWidth="1"/>
    <col min="1029" max="1029" width="0" style="1294" hidden="1" customWidth="1"/>
    <col min="1030" max="1030" width="13" style="1294" customWidth="1"/>
    <col min="1031" max="1281" width="9.140625" style="1294"/>
    <col min="1282" max="1282" width="30.7109375" style="1294" customWidth="1"/>
    <col min="1283" max="1284" width="13" style="1294" customWidth="1"/>
    <col min="1285" max="1285" width="0" style="1294" hidden="1" customWidth="1"/>
    <col min="1286" max="1286" width="13" style="1294" customWidth="1"/>
    <col min="1287" max="1537" width="9.140625" style="1294"/>
    <col min="1538" max="1538" width="30.7109375" style="1294" customWidth="1"/>
    <col min="1539" max="1540" width="13" style="1294" customWidth="1"/>
    <col min="1541" max="1541" width="0" style="1294" hidden="1" customWidth="1"/>
    <col min="1542" max="1542" width="13" style="1294" customWidth="1"/>
    <col min="1543" max="1793" width="9.140625" style="1294"/>
    <col min="1794" max="1794" width="30.7109375" style="1294" customWidth="1"/>
    <col min="1795" max="1796" width="13" style="1294" customWidth="1"/>
    <col min="1797" max="1797" width="0" style="1294" hidden="1" customWidth="1"/>
    <col min="1798" max="1798" width="13" style="1294" customWidth="1"/>
    <col min="1799" max="2049" width="9.140625" style="1294"/>
    <col min="2050" max="2050" width="30.7109375" style="1294" customWidth="1"/>
    <col min="2051" max="2052" width="13" style="1294" customWidth="1"/>
    <col min="2053" max="2053" width="0" style="1294" hidden="1" customWidth="1"/>
    <col min="2054" max="2054" width="13" style="1294" customWidth="1"/>
    <col min="2055" max="2305" width="9.140625" style="1294"/>
    <col min="2306" max="2306" width="30.7109375" style="1294" customWidth="1"/>
    <col min="2307" max="2308" width="13" style="1294" customWidth="1"/>
    <col min="2309" max="2309" width="0" style="1294" hidden="1" customWidth="1"/>
    <col min="2310" max="2310" width="13" style="1294" customWidth="1"/>
    <col min="2311" max="2561" width="9.140625" style="1294"/>
    <col min="2562" max="2562" width="30.7109375" style="1294" customWidth="1"/>
    <col min="2563" max="2564" width="13" style="1294" customWidth="1"/>
    <col min="2565" max="2565" width="0" style="1294" hidden="1" customWidth="1"/>
    <col min="2566" max="2566" width="13" style="1294" customWidth="1"/>
    <col min="2567" max="2817" width="9.140625" style="1294"/>
    <col min="2818" max="2818" width="30.7109375" style="1294" customWidth="1"/>
    <col min="2819" max="2820" width="13" style="1294" customWidth="1"/>
    <col min="2821" max="2821" width="0" style="1294" hidden="1" customWidth="1"/>
    <col min="2822" max="2822" width="13" style="1294" customWidth="1"/>
    <col min="2823" max="3073" width="9.140625" style="1294"/>
    <col min="3074" max="3074" width="30.7109375" style="1294" customWidth="1"/>
    <col min="3075" max="3076" width="13" style="1294" customWidth="1"/>
    <col min="3077" max="3077" width="0" style="1294" hidden="1" customWidth="1"/>
    <col min="3078" max="3078" width="13" style="1294" customWidth="1"/>
    <col min="3079" max="3329" width="9.140625" style="1294"/>
    <col min="3330" max="3330" width="30.7109375" style="1294" customWidth="1"/>
    <col min="3331" max="3332" width="13" style="1294" customWidth="1"/>
    <col min="3333" max="3333" width="0" style="1294" hidden="1" customWidth="1"/>
    <col min="3334" max="3334" width="13" style="1294" customWidth="1"/>
    <col min="3335" max="3585" width="9.140625" style="1294"/>
    <col min="3586" max="3586" width="30.7109375" style="1294" customWidth="1"/>
    <col min="3587" max="3588" width="13" style="1294" customWidth="1"/>
    <col min="3589" max="3589" width="0" style="1294" hidden="1" customWidth="1"/>
    <col min="3590" max="3590" width="13" style="1294" customWidth="1"/>
    <col min="3591" max="3841" width="9.140625" style="1294"/>
    <col min="3842" max="3842" width="30.7109375" style="1294" customWidth="1"/>
    <col min="3843" max="3844" width="13" style="1294" customWidth="1"/>
    <col min="3845" max="3845" width="0" style="1294" hidden="1" customWidth="1"/>
    <col min="3846" max="3846" width="13" style="1294" customWidth="1"/>
    <col min="3847" max="4097" width="9.140625" style="1294"/>
    <col min="4098" max="4098" width="30.7109375" style="1294" customWidth="1"/>
    <col min="4099" max="4100" width="13" style="1294" customWidth="1"/>
    <col min="4101" max="4101" width="0" style="1294" hidden="1" customWidth="1"/>
    <col min="4102" max="4102" width="13" style="1294" customWidth="1"/>
    <col min="4103" max="4353" width="9.140625" style="1294"/>
    <col min="4354" max="4354" width="30.7109375" style="1294" customWidth="1"/>
    <col min="4355" max="4356" width="13" style="1294" customWidth="1"/>
    <col min="4357" max="4357" width="0" style="1294" hidden="1" customWidth="1"/>
    <col min="4358" max="4358" width="13" style="1294" customWidth="1"/>
    <col min="4359" max="4609" width="9.140625" style="1294"/>
    <col min="4610" max="4610" width="30.7109375" style="1294" customWidth="1"/>
    <col min="4611" max="4612" width="13" style="1294" customWidth="1"/>
    <col min="4613" max="4613" width="0" style="1294" hidden="1" customWidth="1"/>
    <col min="4614" max="4614" width="13" style="1294" customWidth="1"/>
    <col min="4615" max="4865" width="9.140625" style="1294"/>
    <col min="4866" max="4866" width="30.7109375" style="1294" customWidth="1"/>
    <col min="4867" max="4868" width="13" style="1294" customWidth="1"/>
    <col min="4869" max="4869" width="0" style="1294" hidden="1" customWidth="1"/>
    <col min="4870" max="4870" width="13" style="1294" customWidth="1"/>
    <col min="4871" max="5121" width="9.140625" style="1294"/>
    <col min="5122" max="5122" width="30.7109375" style="1294" customWidth="1"/>
    <col min="5123" max="5124" width="13" style="1294" customWidth="1"/>
    <col min="5125" max="5125" width="0" style="1294" hidden="1" customWidth="1"/>
    <col min="5126" max="5126" width="13" style="1294" customWidth="1"/>
    <col min="5127" max="5377" width="9.140625" style="1294"/>
    <col min="5378" max="5378" width="30.7109375" style="1294" customWidth="1"/>
    <col min="5379" max="5380" width="13" style="1294" customWidth="1"/>
    <col min="5381" max="5381" width="0" style="1294" hidden="1" customWidth="1"/>
    <col min="5382" max="5382" width="13" style="1294" customWidth="1"/>
    <col min="5383" max="5633" width="9.140625" style="1294"/>
    <col min="5634" max="5634" width="30.7109375" style="1294" customWidth="1"/>
    <col min="5635" max="5636" width="13" style="1294" customWidth="1"/>
    <col min="5637" max="5637" width="0" style="1294" hidden="1" customWidth="1"/>
    <col min="5638" max="5638" width="13" style="1294" customWidth="1"/>
    <col min="5639" max="5889" width="9.140625" style="1294"/>
    <col min="5890" max="5890" width="30.7109375" style="1294" customWidth="1"/>
    <col min="5891" max="5892" width="13" style="1294" customWidth="1"/>
    <col min="5893" max="5893" width="0" style="1294" hidden="1" customWidth="1"/>
    <col min="5894" max="5894" width="13" style="1294" customWidth="1"/>
    <col min="5895" max="6145" width="9.140625" style="1294"/>
    <col min="6146" max="6146" width="30.7109375" style="1294" customWidth="1"/>
    <col min="6147" max="6148" width="13" style="1294" customWidth="1"/>
    <col min="6149" max="6149" width="0" style="1294" hidden="1" customWidth="1"/>
    <col min="6150" max="6150" width="13" style="1294" customWidth="1"/>
    <col min="6151" max="6401" width="9.140625" style="1294"/>
    <col min="6402" max="6402" width="30.7109375" style="1294" customWidth="1"/>
    <col min="6403" max="6404" width="13" style="1294" customWidth="1"/>
    <col min="6405" max="6405" width="0" style="1294" hidden="1" customWidth="1"/>
    <col min="6406" max="6406" width="13" style="1294" customWidth="1"/>
    <col min="6407" max="6657" width="9.140625" style="1294"/>
    <col min="6658" max="6658" width="30.7109375" style="1294" customWidth="1"/>
    <col min="6659" max="6660" width="13" style="1294" customWidth="1"/>
    <col min="6661" max="6661" width="0" style="1294" hidden="1" customWidth="1"/>
    <col min="6662" max="6662" width="13" style="1294" customWidth="1"/>
    <col min="6663" max="6913" width="9.140625" style="1294"/>
    <col min="6914" max="6914" width="30.7109375" style="1294" customWidth="1"/>
    <col min="6915" max="6916" width="13" style="1294" customWidth="1"/>
    <col min="6917" max="6917" width="0" style="1294" hidden="1" customWidth="1"/>
    <col min="6918" max="6918" width="13" style="1294" customWidth="1"/>
    <col min="6919" max="7169" width="9.140625" style="1294"/>
    <col min="7170" max="7170" width="30.7109375" style="1294" customWidth="1"/>
    <col min="7171" max="7172" width="13" style="1294" customWidth="1"/>
    <col min="7173" max="7173" width="0" style="1294" hidden="1" customWidth="1"/>
    <col min="7174" max="7174" width="13" style="1294" customWidth="1"/>
    <col min="7175" max="7425" width="9.140625" style="1294"/>
    <col min="7426" max="7426" width="30.7109375" style="1294" customWidth="1"/>
    <col min="7427" max="7428" width="13" style="1294" customWidth="1"/>
    <col min="7429" max="7429" width="0" style="1294" hidden="1" customWidth="1"/>
    <col min="7430" max="7430" width="13" style="1294" customWidth="1"/>
    <col min="7431" max="7681" width="9.140625" style="1294"/>
    <col min="7682" max="7682" width="30.7109375" style="1294" customWidth="1"/>
    <col min="7683" max="7684" width="13" style="1294" customWidth="1"/>
    <col min="7685" max="7685" width="0" style="1294" hidden="1" customWidth="1"/>
    <col min="7686" max="7686" width="13" style="1294" customWidth="1"/>
    <col min="7687" max="7937" width="9.140625" style="1294"/>
    <col min="7938" max="7938" width="30.7109375" style="1294" customWidth="1"/>
    <col min="7939" max="7940" width="13" style="1294" customWidth="1"/>
    <col min="7941" max="7941" width="0" style="1294" hidden="1" customWidth="1"/>
    <col min="7942" max="7942" width="13" style="1294" customWidth="1"/>
    <col min="7943" max="8193" width="9.140625" style="1294"/>
    <col min="8194" max="8194" width="30.7109375" style="1294" customWidth="1"/>
    <col min="8195" max="8196" width="13" style="1294" customWidth="1"/>
    <col min="8197" max="8197" width="0" style="1294" hidden="1" customWidth="1"/>
    <col min="8198" max="8198" width="13" style="1294" customWidth="1"/>
    <col min="8199" max="8449" width="9.140625" style="1294"/>
    <col min="8450" max="8450" width="30.7109375" style="1294" customWidth="1"/>
    <col min="8451" max="8452" width="13" style="1294" customWidth="1"/>
    <col min="8453" max="8453" width="0" style="1294" hidden="1" customWidth="1"/>
    <col min="8454" max="8454" width="13" style="1294" customWidth="1"/>
    <col min="8455" max="8705" width="9.140625" style="1294"/>
    <col min="8706" max="8706" width="30.7109375" style="1294" customWidth="1"/>
    <col min="8707" max="8708" width="13" style="1294" customWidth="1"/>
    <col min="8709" max="8709" width="0" style="1294" hidden="1" customWidth="1"/>
    <col min="8710" max="8710" width="13" style="1294" customWidth="1"/>
    <col min="8711" max="8961" width="9.140625" style="1294"/>
    <col min="8962" max="8962" width="30.7109375" style="1294" customWidth="1"/>
    <col min="8963" max="8964" width="13" style="1294" customWidth="1"/>
    <col min="8965" max="8965" width="0" style="1294" hidden="1" customWidth="1"/>
    <col min="8966" max="8966" width="13" style="1294" customWidth="1"/>
    <col min="8967" max="9217" width="9.140625" style="1294"/>
    <col min="9218" max="9218" width="30.7109375" style="1294" customWidth="1"/>
    <col min="9219" max="9220" width="13" style="1294" customWidth="1"/>
    <col min="9221" max="9221" width="0" style="1294" hidden="1" customWidth="1"/>
    <col min="9222" max="9222" width="13" style="1294" customWidth="1"/>
    <col min="9223" max="9473" width="9.140625" style="1294"/>
    <col min="9474" max="9474" width="30.7109375" style="1294" customWidth="1"/>
    <col min="9475" max="9476" width="13" style="1294" customWidth="1"/>
    <col min="9477" max="9477" width="0" style="1294" hidden="1" customWidth="1"/>
    <col min="9478" max="9478" width="13" style="1294" customWidth="1"/>
    <col min="9479" max="9729" width="9.140625" style="1294"/>
    <col min="9730" max="9730" width="30.7109375" style="1294" customWidth="1"/>
    <col min="9731" max="9732" width="13" style="1294" customWidth="1"/>
    <col min="9733" max="9733" width="0" style="1294" hidden="1" customWidth="1"/>
    <col min="9734" max="9734" width="13" style="1294" customWidth="1"/>
    <col min="9735" max="9985" width="9.140625" style="1294"/>
    <col min="9986" max="9986" width="30.7109375" style="1294" customWidth="1"/>
    <col min="9987" max="9988" width="13" style="1294" customWidth="1"/>
    <col min="9989" max="9989" width="0" style="1294" hidden="1" customWidth="1"/>
    <col min="9990" max="9990" width="13" style="1294" customWidth="1"/>
    <col min="9991" max="10241" width="9.140625" style="1294"/>
    <col min="10242" max="10242" width="30.7109375" style="1294" customWidth="1"/>
    <col min="10243" max="10244" width="13" style="1294" customWidth="1"/>
    <col min="10245" max="10245" width="0" style="1294" hidden="1" customWidth="1"/>
    <col min="10246" max="10246" width="13" style="1294" customWidth="1"/>
    <col min="10247" max="10497" width="9.140625" style="1294"/>
    <col min="10498" max="10498" width="30.7109375" style="1294" customWidth="1"/>
    <col min="10499" max="10500" width="13" style="1294" customWidth="1"/>
    <col min="10501" max="10501" width="0" style="1294" hidden="1" customWidth="1"/>
    <col min="10502" max="10502" width="13" style="1294" customWidth="1"/>
    <col min="10503" max="10753" width="9.140625" style="1294"/>
    <col min="10754" max="10754" width="30.7109375" style="1294" customWidth="1"/>
    <col min="10755" max="10756" width="13" style="1294" customWidth="1"/>
    <col min="10757" max="10757" width="0" style="1294" hidden="1" customWidth="1"/>
    <col min="10758" max="10758" width="13" style="1294" customWidth="1"/>
    <col min="10759" max="11009" width="9.140625" style="1294"/>
    <col min="11010" max="11010" width="30.7109375" style="1294" customWidth="1"/>
    <col min="11011" max="11012" width="13" style="1294" customWidth="1"/>
    <col min="11013" max="11013" width="0" style="1294" hidden="1" customWidth="1"/>
    <col min="11014" max="11014" width="13" style="1294" customWidth="1"/>
    <col min="11015" max="11265" width="9.140625" style="1294"/>
    <col min="11266" max="11266" width="30.7109375" style="1294" customWidth="1"/>
    <col min="11267" max="11268" width="13" style="1294" customWidth="1"/>
    <col min="11269" max="11269" width="0" style="1294" hidden="1" customWidth="1"/>
    <col min="11270" max="11270" width="13" style="1294" customWidth="1"/>
    <col min="11271" max="11521" width="9.140625" style="1294"/>
    <col min="11522" max="11522" width="30.7109375" style="1294" customWidth="1"/>
    <col min="11523" max="11524" width="13" style="1294" customWidth="1"/>
    <col min="11525" max="11525" width="0" style="1294" hidden="1" customWidth="1"/>
    <col min="11526" max="11526" width="13" style="1294" customWidth="1"/>
    <col min="11527" max="11777" width="9.140625" style="1294"/>
    <col min="11778" max="11778" width="30.7109375" style="1294" customWidth="1"/>
    <col min="11779" max="11780" width="13" style="1294" customWidth="1"/>
    <col min="11781" max="11781" width="0" style="1294" hidden="1" customWidth="1"/>
    <col min="11782" max="11782" width="13" style="1294" customWidth="1"/>
    <col min="11783" max="12033" width="9.140625" style="1294"/>
    <col min="12034" max="12034" width="30.7109375" style="1294" customWidth="1"/>
    <col min="12035" max="12036" width="13" style="1294" customWidth="1"/>
    <col min="12037" max="12037" width="0" style="1294" hidden="1" customWidth="1"/>
    <col min="12038" max="12038" width="13" style="1294" customWidth="1"/>
    <col min="12039" max="12289" width="9.140625" style="1294"/>
    <col min="12290" max="12290" width="30.7109375" style="1294" customWidth="1"/>
    <col min="12291" max="12292" width="13" style="1294" customWidth="1"/>
    <col min="12293" max="12293" width="0" style="1294" hidden="1" customWidth="1"/>
    <col min="12294" max="12294" width="13" style="1294" customWidth="1"/>
    <col min="12295" max="12545" width="9.140625" style="1294"/>
    <col min="12546" max="12546" width="30.7109375" style="1294" customWidth="1"/>
    <col min="12547" max="12548" width="13" style="1294" customWidth="1"/>
    <col min="12549" max="12549" width="0" style="1294" hidden="1" customWidth="1"/>
    <col min="12550" max="12550" width="13" style="1294" customWidth="1"/>
    <col min="12551" max="12801" width="9.140625" style="1294"/>
    <col min="12802" max="12802" width="30.7109375" style="1294" customWidth="1"/>
    <col min="12803" max="12804" width="13" style="1294" customWidth="1"/>
    <col min="12805" max="12805" width="0" style="1294" hidden="1" customWidth="1"/>
    <col min="12806" max="12806" width="13" style="1294" customWidth="1"/>
    <col min="12807" max="13057" width="9.140625" style="1294"/>
    <col min="13058" max="13058" width="30.7109375" style="1294" customWidth="1"/>
    <col min="13059" max="13060" width="13" style="1294" customWidth="1"/>
    <col min="13061" max="13061" width="0" style="1294" hidden="1" customWidth="1"/>
    <col min="13062" max="13062" width="13" style="1294" customWidth="1"/>
    <col min="13063" max="13313" width="9.140625" style="1294"/>
    <col min="13314" max="13314" width="30.7109375" style="1294" customWidth="1"/>
    <col min="13315" max="13316" width="13" style="1294" customWidth="1"/>
    <col min="13317" max="13317" width="0" style="1294" hidden="1" customWidth="1"/>
    <col min="13318" max="13318" width="13" style="1294" customWidth="1"/>
    <col min="13319" max="13569" width="9.140625" style="1294"/>
    <col min="13570" max="13570" width="30.7109375" style="1294" customWidth="1"/>
    <col min="13571" max="13572" width="13" style="1294" customWidth="1"/>
    <col min="13573" max="13573" width="0" style="1294" hidden="1" customWidth="1"/>
    <col min="13574" max="13574" width="13" style="1294" customWidth="1"/>
    <col min="13575" max="13825" width="9.140625" style="1294"/>
    <col min="13826" max="13826" width="30.7109375" style="1294" customWidth="1"/>
    <col min="13827" max="13828" width="13" style="1294" customWidth="1"/>
    <col min="13829" max="13829" width="0" style="1294" hidden="1" customWidth="1"/>
    <col min="13830" max="13830" width="13" style="1294" customWidth="1"/>
    <col min="13831" max="14081" width="9.140625" style="1294"/>
    <col min="14082" max="14082" width="30.7109375" style="1294" customWidth="1"/>
    <col min="14083" max="14084" width="13" style="1294" customWidth="1"/>
    <col min="14085" max="14085" width="0" style="1294" hidden="1" customWidth="1"/>
    <col min="14086" max="14086" width="13" style="1294" customWidth="1"/>
    <col min="14087" max="14337" width="9.140625" style="1294"/>
    <col min="14338" max="14338" width="30.7109375" style="1294" customWidth="1"/>
    <col min="14339" max="14340" width="13" style="1294" customWidth="1"/>
    <col min="14341" max="14341" width="0" style="1294" hidden="1" customWidth="1"/>
    <col min="14342" max="14342" width="13" style="1294" customWidth="1"/>
    <col min="14343" max="14593" width="9.140625" style="1294"/>
    <col min="14594" max="14594" width="30.7109375" style="1294" customWidth="1"/>
    <col min="14595" max="14596" width="13" style="1294" customWidth="1"/>
    <col min="14597" max="14597" width="0" style="1294" hidden="1" customWidth="1"/>
    <col min="14598" max="14598" width="13" style="1294" customWidth="1"/>
    <col min="14599" max="14849" width="9.140625" style="1294"/>
    <col min="14850" max="14850" width="30.7109375" style="1294" customWidth="1"/>
    <col min="14851" max="14852" width="13" style="1294" customWidth="1"/>
    <col min="14853" max="14853" width="0" style="1294" hidden="1" customWidth="1"/>
    <col min="14854" max="14854" width="13" style="1294" customWidth="1"/>
    <col min="14855" max="15105" width="9.140625" style="1294"/>
    <col min="15106" max="15106" width="30.7109375" style="1294" customWidth="1"/>
    <col min="15107" max="15108" width="13" style="1294" customWidth="1"/>
    <col min="15109" max="15109" width="0" style="1294" hidden="1" customWidth="1"/>
    <col min="15110" max="15110" width="13" style="1294" customWidth="1"/>
    <col min="15111" max="15361" width="9.140625" style="1294"/>
    <col min="15362" max="15362" width="30.7109375" style="1294" customWidth="1"/>
    <col min="15363" max="15364" width="13" style="1294" customWidth="1"/>
    <col min="15365" max="15365" width="0" style="1294" hidden="1" customWidth="1"/>
    <col min="15366" max="15366" width="13" style="1294" customWidth="1"/>
    <col min="15367" max="15617" width="9.140625" style="1294"/>
    <col min="15618" max="15618" width="30.7109375" style="1294" customWidth="1"/>
    <col min="15619" max="15620" width="13" style="1294" customWidth="1"/>
    <col min="15621" max="15621" width="0" style="1294" hidden="1" customWidth="1"/>
    <col min="15622" max="15622" width="13" style="1294" customWidth="1"/>
    <col min="15623" max="15873" width="9.140625" style="1294"/>
    <col min="15874" max="15874" width="30.7109375" style="1294" customWidth="1"/>
    <col min="15875" max="15876" width="13" style="1294" customWidth="1"/>
    <col min="15877" max="15877" width="0" style="1294" hidden="1" customWidth="1"/>
    <col min="15878" max="15878" width="13" style="1294" customWidth="1"/>
    <col min="15879" max="16129" width="9.140625" style="1294"/>
    <col min="16130" max="16130" width="30.7109375" style="1294" customWidth="1"/>
    <col min="16131" max="16132" width="13" style="1294" customWidth="1"/>
    <col min="16133" max="16133" width="0" style="1294" hidden="1" customWidth="1"/>
    <col min="16134" max="16134" width="13" style="1294" customWidth="1"/>
    <col min="16135" max="16384" width="9.140625" style="1294"/>
  </cols>
  <sheetData>
    <row r="1" spans="1:7" ht="24" customHeight="1" x14ac:dyDescent="0.25">
      <c r="A1" s="2014" t="str">
        <f>'48N'!A1</f>
        <v>UBND PHƯỜNG ĐỨC XUÂN</v>
      </c>
      <c r="B1" s="2014"/>
      <c r="F1" s="1449" t="s">
        <v>725</v>
      </c>
    </row>
    <row r="2" spans="1:7" x14ac:dyDescent="0.25">
      <c r="F2" s="1302"/>
    </row>
    <row r="3" spans="1:7" ht="18.75" x14ac:dyDescent="0.25">
      <c r="A3" s="2015" t="s">
        <v>804</v>
      </c>
      <c r="B3" s="2015"/>
      <c r="C3" s="2015"/>
      <c r="D3" s="2015"/>
      <c r="E3" s="2015"/>
      <c r="F3" s="2015"/>
    </row>
    <row r="4" spans="1:7" ht="27" customHeight="1" x14ac:dyDescent="0.25">
      <c r="A4" s="1772" t="str">
        <f>'48N'!A4:F4</f>
        <v>(Kèm theo Tờ trình số    /TTr-KTHT&amp;ĐT ngày      /4/2026 của phòng KTHT&amp;ĐT phường Đức Xuân)</v>
      </c>
      <c r="B4" s="1772"/>
      <c r="C4" s="1772"/>
      <c r="D4" s="1772"/>
      <c r="E4" s="1772"/>
      <c r="F4" s="1772"/>
    </row>
    <row r="5" spans="1:7" ht="33.75" customHeight="1" x14ac:dyDescent="0.25">
      <c r="D5" s="2016" t="s">
        <v>715</v>
      </c>
      <c r="E5" s="2016"/>
      <c r="F5" s="2016"/>
    </row>
    <row r="6" spans="1:7" x14ac:dyDescent="0.25">
      <c r="A6" s="2021" t="s">
        <v>1</v>
      </c>
      <c r="B6" s="2021" t="s">
        <v>2</v>
      </c>
      <c r="C6" s="2021" t="s">
        <v>723</v>
      </c>
      <c r="D6" s="2023" t="s">
        <v>43</v>
      </c>
      <c r="E6" s="2023"/>
      <c r="F6" s="2024"/>
    </row>
    <row r="7" spans="1:7" ht="33" x14ac:dyDescent="0.25">
      <c r="A7" s="2022"/>
      <c r="B7" s="2022"/>
      <c r="C7" s="2022"/>
      <c r="D7" s="1303" t="s">
        <v>272</v>
      </c>
      <c r="E7" s="1304" t="s">
        <v>726</v>
      </c>
      <c r="F7" s="1304" t="s">
        <v>264</v>
      </c>
    </row>
    <row r="8" spans="1:7" s="1306" customFormat="1" ht="23.25" customHeight="1" x14ac:dyDescent="0.25">
      <c r="A8" s="1305" t="s">
        <v>4</v>
      </c>
      <c r="B8" s="1305" t="s">
        <v>5</v>
      </c>
      <c r="C8" s="1305" t="s">
        <v>724</v>
      </c>
      <c r="D8" s="1305">
        <v>2</v>
      </c>
      <c r="E8" s="1305">
        <v>3</v>
      </c>
      <c r="F8" s="1305">
        <v>3</v>
      </c>
    </row>
    <row r="9" spans="1:7" s="1302" customFormat="1" ht="23.25" customHeight="1" x14ac:dyDescent="0.25">
      <c r="A9" s="1408" t="s">
        <v>6</v>
      </c>
      <c r="B9" s="1450" t="s">
        <v>30</v>
      </c>
      <c r="C9" s="1450"/>
      <c r="D9" s="1450"/>
      <c r="E9" s="1450"/>
      <c r="F9" s="1450"/>
    </row>
    <row r="10" spans="1:7" ht="51" customHeight="1" x14ac:dyDescent="0.25">
      <c r="A10" s="1295">
        <v>1</v>
      </c>
      <c r="B10" s="1451" t="s">
        <v>805</v>
      </c>
      <c r="C10" s="1452">
        <f>D10+F10</f>
        <v>35000</v>
      </c>
      <c r="D10" s="1452"/>
      <c r="E10" s="1452"/>
      <c r="F10" s="1452">
        <v>35000</v>
      </c>
    </row>
    <row r="11" spans="1:7" ht="45" customHeight="1" x14ac:dyDescent="0.25">
      <c r="A11" s="1295">
        <v>2</v>
      </c>
      <c r="B11" s="1451" t="s">
        <v>806</v>
      </c>
      <c r="C11" s="1452">
        <f>D11+F11</f>
        <v>27610</v>
      </c>
      <c r="D11" s="1452"/>
      <c r="E11" s="1452"/>
      <c r="F11" s="1452">
        <v>27610</v>
      </c>
    </row>
    <row r="13" spans="1:7" ht="24.75" customHeight="1" x14ac:dyDescent="0.25">
      <c r="B13" s="1307"/>
      <c r="C13" s="2020" t="s">
        <v>854</v>
      </c>
      <c r="D13" s="2020"/>
      <c r="E13" s="2020"/>
      <c r="F13" s="2020"/>
      <c r="G13" s="1307"/>
    </row>
    <row r="14" spans="1:7" ht="24" customHeight="1" x14ac:dyDescent="0.25">
      <c r="B14" s="1308"/>
      <c r="C14" s="1987" t="s">
        <v>775</v>
      </c>
      <c r="D14" s="1987"/>
      <c r="E14" s="1987"/>
      <c r="F14" s="1987"/>
      <c r="G14" s="1308"/>
    </row>
    <row r="15" spans="1:7" ht="20.25" customHeight="1" x14ac:dyDescent="0.25">
      <c r="B15" s="1297"/>
      <c r="C15" s="1760" t="s">
        <v>14</v>
      </c>
      <c r="D15" s="1760"/>
      <c r="E15" s="1760"/>
      <c r="F15" s="1760"/>
    </row>
    <row r="21" spans="3:6" x14ac:dyDescent="0.25">
      <c r="C21" s="2019" t="s">
        <v>460</v>
      </c>
      <c r="D21" s="2019"/>
      <c r="E21" s="2019"/>
      <c r="F21" s="2019"/>
    </row>
  </sheetData>
  <mergeCells count="12">
    <mergeCell ref="C21:F21"/>
    <mergeCell ref="A1:B1"/>
    <mergeCell ref="A4:F4"/>
    <mergeCell ref="D5:F5"/>
    <mergeCell ref="C13:F13"/>
    <mergeCell ref="C14:F14"/>
    <mergeCell ref="A3:F3"/>
    <mergeCell ref="A6:A7"/>
    <mergeCell ref="B6:B7"/>
    <mergeCell ref="C6:C7"/>
    <mergeCell ref="D6:F6"/>
    <mergeCell ref="C15:F15"/>
  </mergeCells>
  <printOptions horizontalCentered="1"/>
  <pageMargins left="0.21" right="0.21" top="0.75" bottom="0.75" header="0.3" footer="0.3"/>
  <pageSetup paperSize="9" scale="97" orientation="portrait" verticalDpi="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90"/>
  <sheetViews>
    <sheetView workbookViewId="0">
      <pane xSplit="2" ySplit="8" topLeftCell="C9" activePane="bottomRight" state="frozen"/>
      <selection pane="topRight" activeCell="C1" sqref="C1"/>
      <selection pane="bottomLeft" activeCell="A9" sqref="A9"/>
      <selection pane="bottomRight" activeCell="A80" sqref="A80:XFD80"/>
    </sheetView>
  </sheetViews>
  <sheetFormatPr defaultRowHeight="15.75" x14ac:dyDescent="0.2"/>
  <cols>
    <col min="1" max="1" width="6" style="1314" customWidth="1"/>
    <col min="2" max="2" width="30.85546875" style="1315" customWidth="1"/>
    <col min="3" max="3" width="7.5703125" style="1316" customWidth="1"/>
    <col min="4" max="9" width="7.5703125" style="1354" hidden="1" customWidth="1"/>
    <col min="10" max="11" width="7.5703125" style="1354" customWidth="1"/>
    <col min="12" max="12" width="9.28515625" style="1355" customWidth="1"/>
    <col min="13" max="13" width="9.5703125" style="1354" customWidth="1"/>
    <col min="14" max="14" width="8.7109375" style="1354" customWidth="1"/>
    <col min="15" max="15" width="9.42578125" style="1354" customWidth="1"/>
    <col min="16" max="18" width="8.7109375" style="1354" customWidth="1"/>
    <col min="19" max="19" width="8.7109375" style="1355" customWidth="1"/>
    <col min="20" max="25" width="8.7109375" style="1354" hidden="1" customWidth="1"/>
    <col min="26" max="29" width="8.7109375" style="1354" customWidth="1"/>
    <col min="30" max="30" width="8.7109375" style="1355" customWidth="1"/>
    <col min="31" max="32" width="8.7109375" style="1354" customWidth="1"/>
    <col min="33" max="33" width="8.7109375" style="1355" customWidth="1"/>
    <col min="34" max="41" width="8.7109375" style="1354" hidden="1" customWidth="1"/>
    <col min="42" max="44" width="8.7109375" style="1354" customWidth="1"/>
    <col min="45" max="45" width="11.85546875" style="1354" hidden="1" customWidth="1"/>
    <col min="46" max="69" width="9.140625" style="1320"/>
    <col min="70" max="256" width="9.140625" style="1321"/>
    <col min="257" max="257" width="6.7109375" style="1321" customWidth="1"/>
    <col min="258" max="258" width="30.85546875" style="1321" customWidth="1"/>
    <col min="259" max="271" width="7.5703125" style="1321" customWidth="1"/>
    <col min="272" max="272" width="8.42578125" style="1321" customWidth="1"/>
    <col min="273" max="300" width="7.5703125" style="1321" customWidth="1"/>
    <col min="301" max="301" width="0" style="1321" hidden="1" customWidth="1"/>
    <col min="302" max="512" width="9.140625" style="1321"/>
    <col min="513" max="513" width="6.7109375" style="1321" customWidth="1"/>
    <col min="514" max="514" width="30.85546875" style="1321" customWidth="1"/>
    <col min="515" max="527" width="7.5703125" style="1321" customWidth="1"/>
    <col min="528" max="528" width="8.42578125" style="1321" customWidth="1"/>
    <col min="529" max="556" width="7.5703125" style="1321" customWidth="1"/>
    <col min="557" max="557" width="0" style="1321" hidden="1" customWidth="1"/>
    <col min="558" max="768" width="9.140625" style="1321"/>
    <col min="769" max="769" width="6.7109375" style="1321" customWidth="1"/>
    <col min="770" max="770" width="30.85546875" style="1321" customWidth="1"/>
    <col min="771" max="783" width="7.5703125" style="1321" customWidth="1"/>
    <col min="784" max="784" width="8.42578125" style="1321" customWidth="1"/>
    <col min="785" max="812" width="7.5703125" style="1321" customWidth="1"/>
    <col min="813" max="813" width="0" style="1321" hidden="1" customWidth="1"/>
    <col min="814" max="1024" width="9.140625" style="1321"/>
    <col min="1025" max="1025" width="6.7109375" style="1321" customWidth="1"/>
    <col min="1026" max="1026" width="30.85546875" style="1321" customWidth="1"/>
    <col min="1027" max="1039" width="7.5703125" style="1321" customWidth="1"/>
    <col min="1040" max="1040" width="8.42578125" style="1321" customWidth="1"/>
    <col min="1041" max="1068" width="7.5703125" style="1321" customWidth="1"/>
    <col min="1069" max="1069" width="0" style="1321" hidden="1" customWidth="1"/>
    <col min="1070" max="1280" width="9.140625" style="1321"/>
    <col min="1281" max="1281" width="6.7109375" style="1321" customWidth="1"/>
    <col min="1282" max="1282" width="30.85546875" style="1321" customWidth="1"/>
    <col min="1283" max="1295" width="7.5703125" style="1321" customWidth="1"/>
    <col min="1296" max="1296" width="8.42578125" style="1321" customWidth="1"/>
    <col min="1297" max="1324" width="7.5703125" style="1321" customWidth="1"/>
    <col min="1325" max="1325" width="0" style="1321" hidden="1" customWidth="1"/>
    <col min="1326" max="1536" width="9.140625" style="1321"/>
    <col min="1537" max="1537" width="6.7109375" style="1321" customWidth="1"/>
    <col min="1538" max="1538" width="30.85546875" style="1321" customWidth="1"/>
    <col min="1539" max="1551" width="7.5703125" style="1321" customWidth="1"/>
    <col min="1552" max="1552" width="8.42578125" style="1321" customWidth="1"/>
    <col min="1553" max="1580" width="7.5703125" style="1321" customWidth="1"/>
    <col min="1581" max="1581" width="0" style="1321" hidden="1" customWidth="1"/>
    <col min="1582" max="1792" width="9.140625" style="1321"/>
    <col min="1793" max="1793" width="6.7109375" style="1321" customWidth="1"/>
    <col min="1794" max="1794" width="30.85546875" style="1321" customWidth="1"/>
    <col min="1795" max="1807" width="7.5703125" style="1321" customWidth="1"/>
    <col min="1808" max="1808" width="8.42578125" style="1321" customWidth="1"/>
    <col min="1809" max="1836" width="7.5703125" style="1321" customWidth="1"/>
    <col min="1837" max="1837" width="0" style="1321" hidden="1" customWidth="1"/>
    <col min="1838" max="2048" width="9.140625" style="1321"/>
    <col min="2049" max="2049" width="6.7109375" style="1321" customWidth="1"/>
    <col min="2050" max="2050" width="30.85546875" style="1321" customWidth="1"/>
    <col min="2051" max="2063" width="7.5703125" style="1321" customWidth="1"/>
    <col min="2064" max="2064" width="8.42578125" style="1321" customWidth="1"/>
    <col min="2065" max="2092" width="7.5703125" style="1321" customWidth="1"/>
    <col min="2093" max="2093" width="0" style="1321" hidden="1" customWidth="1"/>
    <col min="2094" max="2304" width="9.140625" style="1321"/>
    <col min="2305" max="2305" width="6.7109375" style="1321" customWidth="1"/>
    <col min="2306" max="2306" width="30.85546875" style="1321" customWidth="1"/>
    <col min="2307" max="2319" width="7.5703125" style="1321" customWidth="1"/>
    <col min="2320" max="2320" width="8.42578125" style="1321" customWidth="1"/>
    <col min="2321" max="2348" width="7.5703125" style="1321" customWidth="1"/>
    <col min="2349" max="2349" width="0" style="1321" hidden="1" customWidth="1"/>
    <col min="2350" max="2560" width="9.140625" style="1321"/>
    <col min="2561" max="2561" width="6.7109375" style="1321" customWidth="1"/>
    <col min="2562" max="2562" width="30.85546875" style="1321" customWidth="1"/>
    <col min="2563" max="2575" width="7.5703125" style="1321" customWidth="1"/>
    <col min="2576" max="2576" width="8.42578125" style="1321" customWidth="1"/>
    <col min="2577" max="2604" width="7.5703125" style="1321" customWidth="1"/>
    <col min="2605" max="2605" width="0" style="1321" hidden="1" customWidth="1"/>
    <col min="2606" max="2816" width="9.140625" style="1321"/>
    <col min="2817" max="2817" width="6.7109375" style="1321" customWidth="1"/>
    <col min="2818" max="2818" width="30.85546875" style="1321" customWidth="1"/>
    <col min="2819" max="2831" width="7.5703125" style="1321" customWidth="1"/>
    <col min="2832" max="2832" width="8.42578125" style="1321" customWidth="1"/>
    <col min="2833" max="2860" width="7.5703125" style="1321" customWidth="1"/>
    <col min="2861" max="2861" width="0" style="1321" hidden="1" customWidth="1"/>
    <col min="2862" max="3072" width="9.140625" style="1321"/>
    <col min="3073" max="3073" width="6.7109375" style="1321" customWidth="1"/>
    <col min="3074" max="3074" width="30.85546875" style="1321" customWidth="1"/>
    <col min="3075" max="3087" width="7.5703125" style="1321" customWidth="1"/>
    <col min="3088" max="3088" width="8.42578125" style="1321" customWidth="1"/>
    <col min="3089" max="3116" width="7.5703125" style="1321" customWidth="1"/>
    <col min="3117" max="3117" width="0" style="1321" hidden="1" customWidth="1"/>
    <col min="3118" max="3328" width="9.140625" style="1321"/>
    <col min="3329" max="3329" width="6.7109375" style="1321" customWidth="1"/>
    <col min="3330" max="3330" width="30.85546875" style="1321" customWidth="1"/>
    <col min="3331" max="3343" width="7.5703125" style="1321" customWidth="1"/>
    <col min="3344" max="3344" width="8.42578125" style="1321" customWidth="1"/>
    <col min="3345" max="3372" width="7.5703125" style="1321" customWidth="1"/>
    <col min="3373" max="3373" width="0" style="1321" hidden="1" customWidth="1"/>
    <col min="3374" max="3584" width="9.140625" style="1321"/>
    <col min="3585" max="3585" width="6.7109375" style="1321" customWidth="1"/>
    <col min="3586" max="3586" width="30.85546875" style="1321" customWidth="1"/>
    <col min="3587" max="3599" width="7.5703125" style="1321" customWidth="1"/>
    <col min="3600" max="3600" width="8.42578125" style="1321" customWidth="1"/>
    <col min="3601" max="3628" width="7.5703125" style="1321" customWidth="1"/>
    <col min="3629" max="3629" width="0" style="1321" hidden="1" customWidth="1"/>
    <col min="3630" max="3840" width="9.140625" style="1321"/>
    <col min="3841" max="3841" width="6.7109375" style="1321" customWidth="1"/>
    <col min="3842" max="3842" width="30.85546875" style="1321" customWidth="1"/>
    <col min="3843" max="3855" width="7.5703125" style="1321" customWidth="1"/>
    <col min="3856" max="3856" width="8.42578125" style="1321" customWidth="1"/>
    <col min="3857" max="3884" width="7.5703125" style="1321" customWidth="1"/>
    <col min="3885" max="3885" width="0" style="1321" hidden="1" customWidth="1"/>
    <col min="3886" max="4096" width="9.140625" style="1321"/>
    <col min="4097" max="4097" width="6.7109375" style="1321" customWidth="1"/>
    <col min="4098" max="4098" width="30.85546875" style="1321" customWidth="1"/>
    <col min="4099" max="4111" width="7.5703125" style="1321" customWidth="1"/>
    <col min="4112" max="4112" width="8.42578125" style="1321" customWidth="1"/>
    <col min="4113" max="4140" width="7.5703125" style="1321" customWidth="1"/>
    <col min="4141" max="4141" width="0" style="1321" hidden="1" customWidth="1"/>
    <col min="4142" max="4352" width="9.140625" style="1321"/>
    <col min="4353" max="4353" width="6.7109375" style="1321" customWidth="1"/>
    <col min="4354" max="4354" width="30.85546875" style="1321" customWidth="1"/>
    <col min="4355" max="4367" width="7.5703125" style="1321" customWidth="1"/>
    <col min="4368" max="4368" width="8.42578125" style="1321" customWidth="1"/>
    <col min="4369" max="4396" width="7.5703125" style="1321" customWidth="1"/>
    <col min="4397" max="4397" width="0" style="1321" hidden="1" customWidth="1"/>
    <col min="4398" max="4608" width="9.140625" style="1321"/>
    <col min="4609" max="4609" width="6.7109375" style="1321" customWidth="1"/>
    <col min="4610" max="4610" width="30.85546875" style="1321" customWidth="1"/>
    <col min="4611" max="4623" width="7.5703125" style="1321" customWidth="1"/>
    <col min="4624" max="4624" width="8.42578125" style="1321" customWidth="1"/>
    <col min="4625" max="4652" width="7.5703125" style="1321" customWidth="1"/>
    <col min="4653" max="4653" width="0" style="1321" hidden="1" customWidth="1"/>
    <col min="4654" max="4864" width="9.140625" style="1321"/>
    <col min="4865" max="4865" width="6.7109375" style="1321" customWidth="1"/>
    <col min="4866" max="4866" width="30.85546875" style="1321" customWidth="1"/>
    <col min="4867" max="4879" width="7.5703125" style="1321" customWidth="1"/>
    <col min="4880" max="4880" width="8.42578125" style="1321" customWidth="1"/>
    <col min="4881" max="4908" width="7.5703125" style="1321" customWidth="1"/>
    <col min="4909" max="4909" width="0" style="1321" hidden="1" customWidth="1"/>
    <col min="4910" max="5120" width="9.140625" style="1321"/>
    <col min="5121" max="5121" width="6.7109375" style="1321" customWidth="1"/>
    <col min="5122" max="5122" width="30.85546875" style="1321" customWidth="1"/>
    <col min="5123" max="5135" width="7.5703125" style="1321" customWidth="1"/>
    <col min="5136" max="5136" width="8.42578125" style="1321" customWidth="1"/>
    <col min="5137" max="5164" width="7.5703125" style="1321" customWidth="1"/>
    <col min="5165" max="5165" width="0" style="1321" hidden="1" customWidth="1"/>
    <col min="5166" max="5376" width="9.140625" style="1321"/>
    <col min="5377" max="5377" width="6.7109375" style="1321" customWidth="1"/>
    <col min="5378" max="5378" width="30.85546875" style="1321" customWidth="1"/>
    <col min="5379" max="5391" width="7.5703125" style="1321" customWidth="1"/>
    <col min="5392" max="5392" width="8.42578125" style="1321" customWidth="1"/>
    <col min="5393" max="5420" width="7.5703125" style="1321" customWidth="1"/>
    <col min="5421" max="5421" width="0" style="1321" hidden="1" customWidth="1"/>
    <col min="5422" max="5632" width="9.140625" style="1321"/>
    <col min="5633" max="5633" width="6.7109375" style="1321" customWidth="1"/>
    <col min="5634" max="5634" width="30.85546875" style="1321" customWidth="1"/>
    <col min="5635" max="5647" width="7.5703125" style="1321" customWidth="1"/>
    <col min="5648" max="5648" width="8.42578125" style="1321" customWidth="1"/>
    <col min="5649" max="5676" width="7.5703125" style="1321" customWidth="1"/>
    <col min="5677" max="5677" width="0" style="1321" hidden="1" customWidth="1"/>
    <col min="5678" max="5888" width="9.140625" style="1321"/>
    <col min="5889" max="5889" width="6.7109375" style="1321" customWidth="1"/>
    <col min="5890" max="5890" width="30.85546875" style="1321" customWidth="1"/>
    <col min="5891" max="5903" width="7.5703125" style="1321" customWidth="1"/>
    <col min="5904" max="5904" width="8.42578125" style="1321" customWidth="1"/>
    <col min="5905" max="5932" width="7.5703125" style="1321" customWidth="1"/>
    <col min="5933" max="5933" width="0" style="1321" hidden="1" customWidth="1"/>
    <col min="5934" max="6144" width="9.140625" style="1321"/>
    <col min="6145" max="6145" width="6.7109375" style="1321" customWidth="1"/>
    <col min="6146" max="6146" width="30.85546875" style="1321" customWidth="1"/>
    <col min="6147" max="6159" width="7.5703125" style="1321" customWidth="1"/>
    <col min="6160" max="6160" width="8.42578125" style="1321" customWidth="1"/>
    <col min="6161" max="6188" width="7.5703125" style="1321" customWidth="1"/>
    <col min="6189" max="6189" width="0" style="1321" hidden="1" customWidth="1"/>
    <col min="6190" max="6400" width="9.140625" style="1321"/>
    <col min="6401" max="6401" width="6.7109375" style="1321" customWidth="1"/>
    <col min="6402" max="6402" width="30.85546875" style="1321" customWidth="1"/>
    <col min="6403" max="6415" width="7.5703125" style="1321" customWidth="1"/>
    <col min="6416" max="6416" width="8.42578125" style="1321" customWidth="1"/>
    <col min="6417" max="6444" width="7.5703125" style="1321" customWidth="1"/>
    <col min="6445" max="6445" width="0" style="1321" hidden="1" customWidth="1"/>
    <col min="6446" max="6656" width="9.140625" style="1321"/>
    <col min="6657" max="6657" width="6.7109375" style="1321" customWidth="1"/>
    <col min="6658" max="6658" width="30.85546875" style="1321" customWidth="1"/>
    <col min="6659" max="6671" width="7.5703125" style="1321" customWidth="1"/>
    <col min="6672" max="6672" width="8.42578125" style="1321" customWidth="1"/>
    <col min="6673" max="6700" width="7.5703125" style="1321" customWidth="1"/>
    <col min="6701" max="6701" width="0" style="1321" hidden="1" customWidth="1"/>
    <col min="6702" max="6912" width="9.140625" style="1321"/>
    <col min="6913" max="6913" width="6.7109375" style="1321" customWidth="1"/>
    <col min="6914" max="6914" width="30.85546875" style="1321" customWidth="1"/>
    <col min="6915" max="6927" width="7.5703125" style="1321" customWidth="1"/>
    <col min="6928" max="6928" width="8.42578125" style="1321" customWidth="1"/>
    <col min="6929" max="6956" width="7.5703125" style="1321" customWidth="1"/>
    <col min="6957" max="6957" width="0" style="1321" hidden="1" customWidth="1"/>
    <col min="6958" max="7168" width="9.140625" style="1321"/>
    <col min="7169" max="7169" width="6.7109375" style="1321" customWidth="1"/>
    <col min="7170" max="7170" width="30.85546875" style="1321" customWidth="1"/>
    <col min="7171" max="7183" width="7.5703125" style="1321" customWidth="1"/>
    <col min="7184" max="7184" width="8.42578125" style="1321" customWidth="1"/>
    <col min="7185" max="7212" width="7.5703125" style="1321" customWidth="1"/>
    <col min="7213" max="7213" width="0" style="1321" hidden="1" customWidth="1"/>
    <col min="7214" max="7424" width="9.140625" style="1321"/>
    <col min="7425" max="7425" width="6.7109375" style="1321" customWidth="1"/>
    <col min="7426" max="7426" width="30.85546875" style="1321" customWidth="1"/>
    <col min="7427" max="7439" width="7.5703125" style="1321" customWidth="1"/>
    <col min="7440" max="7440" width="8.42578125" style="1321" customWidth="1"/>
    <col min="7441" max="7468" width="7.5703125" style="1321" customWidth="1"/>
    <col min="7469" max="7469" width="0" style="1321" hidden="1" customWidth="1"/>
    <col min="7470" max="7680" width="9.140625" style="1321"/>
    <col min="7681" max="7681" width="6.7109375" style="1321" customWidth="1"/>
    <col min="7682" max="7682" width="30.85546875" style="1321" customWidth="1"/>
    <col min="7683" max="7695" width="7.5703125" style="1321" customWidth="1"/>
    <col min="7696" max="7696" width="8.42578125" style="1321" customWidth="1"/>
    <col min="7697" max="7724" width="7.5703125" style="1321" customWidth="1"/>
    <col min="7725" max="7725" width="0" style="1321" hidden="1" customWidth="1"/>
    <col min="7726" max="7936" width="9.140625" style="1321"/>
    <col min="7937" max="7937" width="6.7109375" style="1321" customWidth="1"/>
    <col min="7938" max="7938" width="30.85546875" style="1321" customWidth="1"/>
    <col min="7939" max="7951" width="7.5703125" style="1321" customWidth="1"/>
    <col min="7952" max="7952" width="8.42578125" style="1321" customWidth="1"/>
    <col min="7953" max="7980" width="7.5703125" style="1321" customWidth="1"/>
    <col min="7981" max="7981" width="0" style="1321" hidden="1" customWidth="1"/>
    <col min="7982" max="8192" width="9.140625" style="1321"/>
    <col min="8193" max="8193" width="6.7109375" style="1321" customWidth="1"/>
    <col min="8194" max="8194" width="30.85546875" style="1321" customWidth="1"/>
    <col min="8195" max="8207" width="7.5703125" style="1321" customWidth="1"/>
    <col min="8208" max="8208" width="8.42578125" style="1321" customWidth="1"/>
    <col min="8209" max="8236" width="7.5703125" style="1321" customWidth="1"/>
    <col min="8237" max="8237" width="0" style="1321" hidden="1" customWidth="1"/>
    <col min="8238" max="8448" width="9.140625" style="1321"/>
    <col min="8449" max="8449" width="6.7109375" style="1321" customWidth="1"/>
    <col min="8450" max="8450" width="30.85546875" style="1321" customWidth="1"/>
    <col min="8451" max="8463" width="7.5703125" style="1321" customWidth="1"/>
    <col min="8464" max="8464" width="8.42578125" style="1321" customWidth="1"/>
    <col min="8465" max="8492" width="7.5703125" style="1321" customWidth="1"/>
    <col min="8493" max="8493" width="0" style="1321" hidden="1" customWidth="1"/>
    <col min="8494" max="8704" width="9.140625" style="1321"/>
    <col min="8705" max="8705" width="6.7109375" style="1321" customWidth="1"/>
    <col min="8706" max="8706" width="30.85546875" style="1321" customWidth="1"/>
    <col min="8707" max="8719" width="7.5703125" style="1321" customWidth="1"/>
    <col min="8720" max="8720" width="8.42578125" style="1321" customWidth="1"/>
    <col min="8721" max="8748" width="7.5703125" style="1321" customWidth="1"/>
    <col min="8749" max="8749" width="0" style="1321" hidden="1" customWidth="1"/>
    <col min="8750" max="8960" width="9.140625" style="1321"/>
    <col min="8961" max="8961" width="6.7109375" style="1321" customWidth="1"/>
    <col min="8962" max="8962" width="30.85546875" style="1321" customWidth="1"/>
    <col min="8963" max="8975" width="7.5703125" style="1321" customWidth="1"/>
    <col min="8976" max="8976" width="8.42578125" style="1321" customWidth="1"/>
    <col min="8977" max="9004" width="7.5703125" style="1321" customWidth="1"/>
    <col min="9005" max="9005" width="0" style="1321" hidden="1" customWidth="1"/>
    <col min="9006" max="9216" width="9.140625" style="1321"/>
    <col min="9217" max="9217" width="6.7109375" style="1321" customWidth="1"/>
    <col min="9218" max="9218" width="30.85546875" style="1321" customWidth="1"/>
    <col min="9219" max="9231" width="7.5703125" style="1321" customWidth="1"/>
    <col min="9232" max="9232" width="8.42578125" style="1321" customWidth="1"/>
    <col min="9233" max="9260" width="7.5703125" style="1321" customWidth="1"/>
    <col min="9261" max="9261" width="0" style="1321" hidden="1" customWidth="1"/>
    <col min="9262" max="9472" width="9.140625" style="1321"/>
    <col min="9473" max="9473" width="6.7109375" style="1321" customWidth="1"/>
    <col min="9474" max="9474" width="30.85546875" style="1321" customWidth="1"/>
    <col min="9475" max="9487" width="7.5703125" style="1321" customWidth="1"/>
    <col min="9488" max="9488" width="8.42578125" style="1321" customWidth="1"/>
    <col min="9489" max="9516" width="7.5703125" style="1321" customWidth="1"/>
    <col min="9517" max="9517" width="0" style="1321" hidden="1" customWidth="1"/>
    <col min="9518" max="9728" width="9.140625" style="1321"/>
    <col min="9729" max="9729" width="6.7109375" style="1321" customWidth="1"/>
    <col min="9730" max="9730" width="30.85546875" style="1321" customWidth="1"/>
    <col min="9731" max="9743" width="7.5703125" style="1321" customWidth="1"/>
    <col min="9744" max="9744" width="8.42578125" style="1321" customWidth="1"/>
    <col min="9745" max="9772" width="7.5703125" style="1321" customWidth="1"/>
    <col min="9773" max="9773" width="0" style="1321" hidden="1" customWidth="1"/>
    <col min="9774" max="9984" width="9.140625" style="1321"/>
    <col min="9985" max="9985" width="6.7109375" style="1321" customWidth="1"/>
    <col min="9986" max="9986" width="30.85546875" style="1321" customWidth="1"/>
    <col min="9987" max="9999" width="7.5703125" style="1321" customWidth="1"/>
    <col min="10000" max="10000" width="8.42578125" style="1321" customWidth="1"/>
    <col min="10001" max="10028" width="7.5703125" style="1321" customWidth="1"/>
    <col min="10029" max="10029" width="0" style="1321" hidden="1" customWidth="1"/>
    <col min="10030" max="10240" width="9.140625" style="1321"/>
    <col min="10241" max="10241" width="6.7109375" style="1321" customWidth="1"/>
    <col min="10242" max="10242" width="30.85546875" style="1321" customWidth="1"/>
    <col min="10243" max="10255" width="7.5703125" style="1321" customWidth="1"/>
    <col min="10256" max="10256" width="8.42578125" style="1321" customWidth="1"/>
    <col min="10257" max="10284" width="7.5703125" style="1321" customWidth="1"/>
    <col min="10285" max="10285" width="0" style="1321" hidden="1" customWidth="1"/>
    <col min="10286" max="10496" width="9.140625" style="1321"/>
    <col min="10497" max="10497" width="6.7109375" style="1321" customWidth="1"/>
    <col min="10498" max="10498" width="30.85546875" style="1321" customWidth="1"/>
    <col min="10499" max="10511" width="7.5703125" style="1321" customWidth="1"/>
    <col min="10512" max="10512" width="8.42578125" style="1321" customWidth="1"/>
    <col min="10513" max="10540" width="7.5703125" style="1321" customWidth="1"/>
    <col min="10541" max="10541" width="0" style="1321" hidden="1" customWidth="1"/>
    <col min="10542" max="10752" width="9.140625" style="1321"/>
    <col min="10753" max="10753" width="6.7109375" style="1321" customWidth="1"/>
    <col min="10754" max="10754" width="30.85546875" style="1321" customWidth="1"/>
    <col min="10755" max="10767" width="7.5703125" style="1321" customWidth="1"/>
    <col min="10768" max="10768" width="8.42578125" style="1321" customWidth="1"/>
    <col min="10769" max="10796" width="7.5703125" style="1321" customWidth="1"/>
    <col min="10797" max="10797" width="0" style="1321" hidden="1" customWidth="1"/>
    <col min="10798" max="11008" width="9.140625" style="1321"/>
    <col min="11009" max="11009" width="6.7109375" style="1321" customWidth="1"/>
    <col min="11010" max="11010" width="30.85546875" style="1321" customWidth="1"/>
    <col min="11011" max="11023" width="7.5703125" style="1321" customWidth="1"/>
    <col min="11024" max="11024" width="8.42578125" style="1321" customWidth="1"/>
    <col min="11025" max="11052" width="7.5703125" style="1321" customWidth="1"/>
    <col min="11053" max="11053" width="0" style="1321" hidden="1" customWidth="1"/>
    <col min="11054" max="11264" width="9.140625" style="1321"/>
    <col min="11265" max="11265" width="6.7109375" style="1321" customWidth="1"/>
    <col min="11266" max="11266" width="30.85546875" style="1321" customWidth="1"/>
    <col min="11267" max="11279" width="7.5703125" style="1321" customWidth="1"/>
    <col min="11280" max="11280" width="8.42578125" style="1321" customWidth="1"/>
    <col min="11281" max="11308" width="7.5703125" style="1321" customWidth="1"/>
    <col min="11309" max="11309" width="0" style="1321" hidden="1" customWidth="1"/>
    <col min="11310" max="11520" width="9.140625" style="1321"/>
    <col min="11521" max="11521" width="6.7109375" style="1321" customWidth="1"/>
    <col min="11522" max="11522" width="30.85546875" style="1321" customWidth="1"/>
    <col min="11523" max="11535" width="7.5703125" style="1321" customWidth="1"/>
    <col min="11536" max="11536" width="8.42578125" style="1321" customWidth="1"/>
    <col min="11537" max="11564" width="7.5703125" style="1321" customWidth="1"/>
    <col min="11565" max="11565" width="0" style="1321" hidden="1" customWidth="1"/>
    <col min="11566" max="11776" width="9.140625" style="1321"/>
    <col min="11777" max="11777" width="6.7109375" style="1321" customWidth="1"/>
    <col min="11778" max="11778" width="30.85546875" style="1321" customWidth="1"/>
    <col min="11779" max="11791" width="7.5703125" style="1321" customWidth="1"/>
    <col min="11792" max="11792" width="8.42578125" style="1321" customWidth="1"/>
    <col min="11793" max="11820" width="7.5703125" style="1321" customWidth="1"/>
    <col min="11821" max="11821" width="0" style="1321" hidden="1" customWidth="1"/>
    <col min="11822" max="12032" width="9.140625" style="1321"/>
    <col min="12033" max="12033" width="6.7109375" style="1321" customWidth="1"/>
    <col min="12034" max="12034" width="30.85546875" style="1321" customWidth="1"/>
    <col min="12035" max="12047" width="7.5703125" style="1321" customWidth="1"/>
    <col min="12048" max="12048" width="8.42578125" style="1321" customWidth="1"/>
    <col min="12049" max="12076" width="7.5703125" style="1321" customWidth="1"/>
    <col min="12077" max="12077" width="0" style="1321" hidden="1" customWidth="1"/>
    <col min="12078" max="12288" width="9.140625" style="1321"/>
    <col min="12289" max="12289" width="6.7109375" style="1321" customWidth="1"/>
    <col min="12290" max="12290" width="30.85546875" style="1321" customWidth="1"/>
    <col min="12291" max="12303" width="7.5703125" style="1321" customWidth="1"/>
    <col min="12304" max="12304" width="8.42578125" style="1321" customWidth="1"/>
    <col min="12305" max="12332" width="7.5703125" style="1321" customWidth="1"/>
    <col min="12333" max="12333" width="0" style="1321" hidden="1" customWidth="1"/>
    <col min="12334" max="12544" width="9.140625" style="1321"/>
    <col min="12545" max="12545" width="6.7109375" style="1321" customWidth="1"/>
    <col min="12546" max="12546" width="30.85546875" style="1321" customWidth="1"/>
    <col min="12547" max="12559" width="7.5703125" style="1321" customWidth="1"/>
    <col min="12560" max="12560" width="8.42578125" style="1321" customWidth="1"/>
    <col min="12561" max="12588" width="7.5703125" style="1321" customWidth="1"/>
    <col min="12589" max="12589" width="0" style="1321" hidden="1" customWidth="1"/>
    <col min="12590" max="12800" width="9.140625" style="1321"/>
    <col min="12801" max="12801" width="6.7109375" style="1321" customWidth="1"/>
    <col min="12802" max="12802" width="30.85546875" style="1321" customWidth="1"/>
    <col min="12803" max="12815" width="7.5703125" style="1321" customWidth="1"/>
    <col min="12816" max="12816" width="8.42578125" style="1321" customWidth="1"/>
    <col min="12817" max="12844" width="7.5703125" style="1321" customWidth="1"/>
    <col min="12845" max="12845" width="0" style="1321" hidden="1" customWidth="1"/>
    <col min="12846" max="13056" width="9.140625" style="1321"/>
    <col min="13057" max="13057" width="6.7109375" style="1321" customWidth="1"/>
    <col min="13058" max="13058" width="30.85546875" style="1321" customWidth="1"/>
    <col min="13059" max="13071" width="7.5703125" style="1321" customWidth="1"/>
    <col min="13072" max="13072" width="8.42578125" style="1321" customWidth="1"/>
    <col min="13073" max="13100" width="7.5703125" style="1321" customWidth="1"/>
    <col min="13101" max="13101" width="0" style="1321" hidden="1" customWidth="1"/>
    <col min="13102" max="13312" width="9.140625" style="1321"/>
    <col min="13313" max="13313" width="6.7109375" style="1321" customWidth="1"/>
    <col min="13314" max="13314" width="30.85546875" style="1321" customWidth="1"/>
    <col min="13315" max="13327" width="7.5703125" style="1321" customWidth="1"/>
    <col min="13328" max="13328" width="8.42578125" style="1321" customWidth="1"/>
    <col min="13329" max="13356" width="7.5703125" style="1321" customWidth="1"/>
    <col min="13357" max="13357" width="0" style="1321" hidden="1" customWidth="1"/>
    <col min="13358" max="13568" width="9.140625" style="1321"/>
    <col min="13569" max="13569" width="6.7109375" style="1321" customWidth="1"/>
    <col min="13570" max="13570" width="30.85546875" style="1321" customWidth="1"/>
    <col min="13571" max="13583" width="7.5703125" style="1321" customWidth="1"/>
    <col min="13584" max="13584" width="8.42578125" style="1321" customWidth="1"/>
    <col min="13585" max="13612" width="7.5703125" style="1321" customWidth="1"/>
    <col min="13613" max="13613" width="0" style="1321" hidden="1" customWidth="1"/>
    <col min="13614" max="13824" width="9.140625" style="1321"/>
    <col min="13825" max="13825" width="6.7109375" style="1321" customWidth="1"/>
    <col min="13826" max="13826" width="30.85546875" style="1321" customWidth="1"/>
    <col min="13827" max="13839" width="7.5703125" style="1321" customWidth="1"/>
    <col min="13840" max="13840" width="8.42578125" style="1321" customWidth="1"/>
    <col min="13841" max="13868" width="7.5703125" style="1321" customWidth="1"/>
    <col min="13869" max="13869" width="0" style="1321" hidden="1" customWidth="1"/>
    <col min="13870" max="14080" width="9.140625" style="1321"/>
    <col min="14081" max="14081" width="6.7109375" style="1321" customWidth="1"/>
    <col min="14082" max="14082" width="30.85546875" style="1321" customWidth="1"/>
    <col min="14083" max="14095" width="7.5703125" style="1321" customWidth="1"/>
    <col min="14096" max="14096" width="8.42578125" style="1321" customWidth="1"/>
    <col min="14097" max="14124" width="7.5703125" style="1321" customWidth="1"/>
    <col min="14125" max="14125" width="0" style="1321" hidden="1" customWidth="1"/>
    <col min="14126" max="14336" width="9.140625" style="1321"/>
    <col min="14337" max="14337" width="6.7109375" style="1321" customWidth="1"/>
    <col min="14338" max="14338" width="30.85546875" style="1321" customWidth="1"/>
    <col min="14339" max="14351" width="7.5703125" style="1321" customWidth="1"/>
    <col min="14352" max="14352" width="8.42578125" style="1321" customWidth="1"/>
    <col min="14353" max="14380" width="7.5703125" style="1321" customWidth="1"/>
    <col min="14381" max="14381" width="0" style="1321" hidden="1" customWidth="1"/>
    <col min="14382" max="14592" width="9.140625" style="1321"/>
    <col min="14593" max="14593" width="6.7109375" style="1321" customWidth="1"/>
    <col min="14594" max="14594" width="30.85546875" style="1321" customWidth="1"/>
    <col min="14595" max="14607" width="7.5703125" style="1321" customWidth="1"/>
    <col min="14608" max="14608" width="8.42578125" style="1321" customWidth="1"/>
    <col min="14609" max="14636" width="7.5703125" style="1321" customWidth="1"/>
    <col min="14637" max="14637" width="0" style="1321" hidden="1" customWidth="1"/>
    <col min="14638" max="14848" width="9.140625" style="1321"/>
    <col min="14849" max="14849" width="6.7109375" style="1321" customWidth="1"/>
    <col min="14850" max="14850" width="30.85546875" style="1321" customWidth="1"/>
    <col min="14851" max="14863" width="7.5703125" style="1321" customWidth="1"/>
    <col min="14864" max="14864" width="8.42578125" style="1321" customWidth="1"/>
    <col min="14865" max="14892" width="7.5703125" style="1321" customWidth="1"/>
    <col min="14893" max="14893" width="0" style="1321" hidden="1" customWidth="1"/>
    <col min="14894" max="15104" width="9.140625" style="1321"/>
    <col min="15105" max="15105" width="6.7109375" style="1321" customWidth="1"/>
    <col min="15106" max="15106" width="30.85546875" style="1321" customWidth="1"/>
    <col min="15107" max="15119" width="7.5703125" style="1321" customWidth="1"/>
    <col min="15120" max="15120" width="8.42578125" style="1321" customWidth="1"/>
    <col min="15121" max="15148" width="7.5703125" style="1321" customWidth="1"/>
    <col min="15149" max="15149" width="0" style="1321" hidden="1" customWidth="1"/>
    <col min="15150" max="15360" width="9.140625" style="1321"/>
    <col min="15361" max="15361" width="6.7109375" style="1321" customWidth="1"/>
    <col min="15362" max="15362" width="30.85546875" style="1321" customWidth="1"/>
    <col min="15363" max="15375" width="7.5703125" style="1321" customWidth="1"/>
    <col min="15376" max="15376" width="8.42578125" style="1321" customWidth="1"/>
    <col min="15377" max="15404" width="7.5703125" style="1321" customWidth="1"/>
    <col min="15405" max="15405" width="0" style="1321" hidden="1" customWidth="1"/>
    <col min="15406" max="15616" width="9.140625" style="1321"/>
    <col min="15617" max="15617" width="6.7109375" style="1321" customWidth="1"/>
    <col min="15618" max="15618" width="30.85546875" style="1321" customWidth="1"/>
    <col min="15619" max="15631" width="7.5703125" style="1321" customWidth="1"/>
    <col min="15632" max="15632" width="8.42578125" style="1321" customWidth="1"/>
    <col min="15633" max="15660" width="7.5703125" style="1321" customWidth="1"/>
    <col min="15661" max="15661" width="0" style="1321" hidden="1" customWidth="1"/>
    <col min="15662" max="15872" width="9.140625" style="1321"/>
    <col min="15873" max="15873" width="6.7109375" style="1321" customWidth="1"/>
    <col min="15874" max="15874" width="30.85546875" style="1321" customWidth="1"/>
    <col min="15875" max="15887" width="7.5703125" style="1321" customWidth="1"/>
    <col min="15888" max="15888" width="8.42578125" style="1321" customWidth="1"/>
    <col min="15889" max="15916" width="7.5703125" style="1321" customWidth="1"/>
    <col min="15917" max="15917" width="0" style="1321" hidden="1" customWidth="1"/>
    <col min="15918" max="16128" width="9.140625" style="1321"/>
    <col min="16129" max="16129" width="6.7109375" style="1321" customWidth="1"/>
    <col min="16130" max="16130" width="30.85546875" style="1321" customWidth="1"/>
    <col min="16131" max="16143" width="7.5703125" style="1321" customWidth="1"/>
    <col min="16144" max="16144" width="8.42578125" style="1321" customWidth="1"/>
    <col min="16145" max="16172" width="7.5703125" style="1321" customWidth="1"/>
    <col min="16173" max="16173" width="0" style="1321" hidden="1" customWidth="1"/>
    <col min="16174" max="16384" width="9.140625" style="1321"/>
  </cols>
  <sheetData>
    <row r="1" spans="1:69" s="1313" customFormat="1" ht="20.100000000000001" customHeight="1" x14ac:dyDescent="0.25">
      <c r="A1" s="2039" t="str">
        <f>'48N'!A1</f>
        <v>UBND PHƯỜNG ĐỨC XUÂN</v>
      </c>
      <c r="B1" s="2039"/>
      <c r="C1" s="1309"/>
      <c r="D1" s="1310"/>
      <c r="E1" s="1310"/>
      <c r="F1" s="1310"/>
      <c r="G1" s="1310"/>
      <c r="H1" s="1310"/>
      <c r="I1" s="1310"/>
      <c r="J1" s="1310"/>
      <c r="K1" s="1310"/>
      <c r="L1" s="1311"/>
      <c r="M1" s="1310"/>
      <c r="N1" s="1310"/>
      <c r="O1" s="1310"/>
      <c r="P1" s="1310"/>
      <c r="Q1" s="1310"/>
      <c r="R1" s="1310"/>
      <c r="S1" s="1311"/>
      <c r="T1" s="1310"/>
      <c r="U1" s="1310"/>
      <c r="V1" s="1310"/>
      <c r="W1" s="1310"/>
      <c r="X1" s="1310"/>
      <c r="Y1" s="1310"/>
      <c r="Z1" s="1310"/>
      <c r="AA1" s="1310"/>
      <c r="AB1" s="1310"/>
      <c r="AC1" s="2040" t="s">
        <v>727</v>
      </c>
      <c r="AD1" s="2040"/>
      <c r="AE1" s="2040"/>
      <c r="AF1" s="2040"/>
      <c r="AG1" s="2040"/>
      <c r="AH1" s="2040"/>
      <c r="AI1" s="2040"/>
      <c r="AJ1" s="2040"/>
      <c r="AK1" s="2040"/>
      <c r="AL1" s="2040"/>
      <c r="AM1" s="2040"/>
      <c r="AN1" s="2040"/>
      <c r="AO1" s="2040"/>
      <c r="AP1" s="2040"/>
      <c r="AQ1" s="2040"/>
      <c r="AR1" s="2040"/>
      <c r="AS1" s="2040"/>
      <c r="AT1" s="1312"/>
      <c r="AU1" s="1312"/>
      <c r="AV1" s="1312"/>
      <c r="AW1" s="1312"/>
      <c r="AX1" s="1312"/>
      <c r="AY1" s="1312"/>
      <c r="AZ1" s="1312"/>
      <c r="BA1" s="1312"/>
      <c r="BB1" s="1312"/>
      <c r="BC1" s="1312"/>
      <c r="BD1" s="1312"/>
      <c r="BE1" s="1312"/>
      <c r="BF1" s="1312"/>
      <c r="BG1" s="1312"/>
      <c r="BH1" s="1312"/>
      <c r="BI1" s="1312"/>
      <c r="BJ1" s="1312"/>
      <c r="BK1" s="1312"/>
      <c r="BL1" s="1312"/>
      <c r="BM1" s="1312"/>
      <c r="BN1" s="1312"/>
      <c r="BO1" s="1312"/>
      <c r="BP1" s="1312"/>
      <c r="BQ1" s="1312"/>
    </row>
    <row r="2" spans="1:69" s="1313" customFormat="1" ht="25.5" x14ac:dyDescent="0.25">
      <c r="A2" s="2041" t="s">
        <v>728</v>
      </c>
      <c r="B2" s="2041"/>
      <c r="C2" s="2041"/>
      <c r="D2" s="2041"/>
      <c r="E2" s="2041"/>
      <c r="F2" s="2041"/>
      <c r="G2" s="2041"/>
      <c r="H2" s="2041"/>
      <c r="I2" s="2041"/>
      <c r="J2" s="2041"/>
      <c r="K2" s="2041"/>
      <c r="L2" s="2041"/>
      <c r="M2" s="2041"/>
      <c r="N2" s="2041"/>
      <c r="O2" s="2041"/>
      <c r="P2" s="2041"/>
      <c r="Q2" s="2041"/>
      <c r="R2" s="2041"/>
      <c r="S2" s="2041"/>
      <c r="T2" s="204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c r="AT2" s="1312"/>
      <c r="AU2" s="1312"/>
      <c r="AV2" s="1312"/>
      <c r="AW2" s="1312"/>
      <c r="AX2" s="1312"/>
      <c r="AY2" s="1312"/>
      <c r="AZ2" s="1312"/>
      <c r="BA2" s="1312"/>
      <c r="BB2" s="1312"/>
      <c r="BC2" s="1312"/>
      <c r="BD2" s="1312"/>
      <c r="BE2" s="1312"/>
      <c r="BF2" s="1312"/>
      <c r="BG2" s="1312"/>
      <c r="BH2" s="1312"/>
      <c r="BI2" s="1312"/>
      <c r="BJ2" s="1312"/>
      <c r="BK2" s="1312"/>
      <c r="BL2" s="1312"/>
      <c r="BM2" s="1312"/>
      <c r="BN2" s="1312"/>
      <c r="BO2" s="1312"/>
      <c r="BP2" s="1312"/>
      <c r="BQ2" s="1312"/>
    </row>
    <row r="3" spans="1:69" s="1313" customFormat="1" ht="18.75" x14ac:dyDescent="0.25">
      <c r="A3" s="2042" t="str">
        <f>'48N'!A4:F4</f>
        <v>(Kèm theo Tờ trình số    /TTr-KTHT&amp;ĐT ngày      /4/2026 của phòng KTHT&amp;ĐT phường Đức Xuân)</v>
      </c>
      <c r="B3" s="2042"/>
      <c r="C3" s="2042"/>
      <c r="D3" s="2042"/>
      <c r="E3" s="2042"/>
      <c r="F3" s="2042"/>
      <c r="G3" s="2042"/>
      <c r="H3" s="2042"/>
      <c r="I3" s="2042"/>
      <c r="J3" s="2042"/>
      <c r="K3" s="2042"/>
      <c r="L3" s="2042"/>
      <c r="M3" s="2042"/>
      <c r="N3" s="2042"/>
      <c r="O3" s="2042"/>
      <c r="P3" s="2042"/>
      <c r="Q3" s="2042"/>
      <c r="R3" s="2042"/>
      <c r="S3" s="2042"/>
      <c r="T3" s="2042"/>
      <c r="U3" s="2042"/>
      <c r="V3" s="2042"/>
      <c r="W3" s="2042"/>
      <c r="X3" s="2042"/>
      <c r="Y3" s="2042"/>
      <c r="Z3" s="2042"/>
      <c r="AA3" s="2042"/>
      <c r="AB3" s="2042"/>
      <c r="AC3" s="2042"/>
      <c r="AD3" s="2042"/>
      <c r="AE3" s="2042"/>
      <c r="AF3" s="2042"/>
      <c r="AG3" s="2042"/>
      <c r="AH3" s="2042"/>
      <c r="AI3" s="2042"/>
      <c r="AJ3" s="2042"/>
      <c r="AK3" s="2042"/>
      <c r="AL3" s="2042"/>
      <c r="AM3" s="2042"/>
      <c r="AN3" s="2042"/>
      <c r="AO3" s="2042"/>
      <c r="AP3" s="2042"/>
      <c r="AQ3" s="2042"/>
      <c r="AR3" s="2042"/>
      <c r="AS3" s="2042"/>
      <c r="AT3" s="1312"/>
      <c r="AU3" s="1312"/>
      <c r="AV3" s="1312"/>
      <c r="AW3" s="1312"/>
      <c r="AX3" s="1312"/>
      <c r="AY3" s="1312"/>
      <c r="AZ3" s="1312"/>
      <c r="BA3" s="1312"/>
      <c r="BB3" s="1312"/>
      <c r="BC3" s="1312"/>
      <c r="BD3" s="1312"/>
      <c r="BE3" s="1312"/>
      <c r="BF3" s="1312"/>
      <c r="BG3" s="1312"/>
      <c r="BH3" s="1312"/>
      <c r="BI3" s="1312"/>
      <c r="BJ3" s="1312"/>
      <c r="BK3" s="1312"/>
      <c r="BL3" s="1312"/>
      <c r="BM3" s="1312"/>
      <c r="BN3" s="1312"/>
      <c r="BO3" s="1312"/>
      <c r="BP3" s="1312"/>
      <c r="BQ3" s="1312"/>
    </row>
    <row r="4" spans="1:69" ht="25.5" customHeight="1" x14ac:dyDescent="0.25">
      <c r="D4" s="1317"/>
      <c r="E4" s="1317"/>
      <c r="F4" s="1317"/>
      <c r="G4" s="1317"/>
      <c r="H4" s="1317"/>
      <c r="I4" s="1317"/>
      <c r="J4" s="1317"/>
      <c r="K4" s="1317"/>
      <c r="L4" s="1318"/>
      <c r="M4" s="1317"/>
      <c r="N4" s="1317"/>
      <c r="O4" s="1319"/>
      <c r="P4" s="1317"/>
      <c r="Q4" s="1317"/>
      <c r="R4" s="1319"/>
      <c r="S4" s="1318"/>
      <c r="T4" s="1317"/>
      <c r="U4" s="1317"/>
      <c r="V4" s="1317"/>
      <c r="W4" s="1317"/>
      <c r="X4" s="1317"/>
      <c r="Y4" s="1317"/>
      <c r="Z4" s="1317"/>
      <c r="AA4" s="1317"/>
      <c r="AB4" s="1317"/>
      <c r="AC4" s="1317"/>
      <c r="AD4" s="1318"/>
      <c r="AE4" s="1317"/>
      <c r="AF4" s="1317"/>
      <c r="AG4" s="1318"/>
      <c r="AH4" s="1317"/>
      <c r="AI4" s="1317"/>
      <c r="AJ4" s="1317"/>
      <c r="AK4" s="1317"/>
      <c r="AL4" s="1317"/>
      <c r="AM4" s="1317"/>
      <c r="AN4" s="1317"/>
      <c r="AO4" s="1317"/>
      <c r="AP4" s="2043" t="s">
        <v>715</v>
      </c>
      <c r="AQ4" s="2043"/>
      <c r="AR4" s="2043"/>
      <c r="AS4" s="2043"/>
    </row>
    <row r="5" spans="1:69" s="1323" customFormat="1" ht="34.5" customHeight="1" x14ac:dyDescent="0.25">
      <c r="A5" s="2028" t="s">
        <v>1</v>
      </c>
      <c r="B5" s="2028" t="s">
        <v>107</v>
      </c>
      <c r="C5" s="2029" t="s">
        <v>729</v>
      </c>
      <c r="D5" s="2030"/>
      <c r="E5" s="2030"/>
      <c r="F5" s="2030"/>
      <c r="G5" s="2030"/>
      <c r="H5" s="2030"/>
      <c r="I5" s="2030"/>
      <c r="J5" s="2030"/>
      <c r="K5" s="2031"/>
      <c r="L5" s="2029" t="s">
        <v>730</v>
      </c>
      <c r="M5" s="2030"/>
      <c r="N5" s="2030"/>
      <c r="O5" s="2030"/>
      <c r="P5" s="2030"/>
      <c r="Q5" s="2030"/>
      <c r="R5" s="2031"/>
      <c r="S5" s="2032" t="s">
        <v>731</v>
      </c>
      <c r="T5" s="2032"/>
      <c r="U5" s="2032"/>
      <c r="V5" s="2032"/>
      <c r="W5" s="2032"/>
      <c r="X5" s="2032"/>
      <c r="Y5" s="2032"/>
      <c r="Z5" s="2032"/>
      <c r="AA5" s="2032"/>
      <c r="AB5" s="2032"/>
      <c r="AC5" s="2032"/>
      <c r="AD5" s="2047" t="s">
        <v>732</v>
      </c>
      <c r="AE5" s="2047"/>
      <c r="AF5" s="2047"/>
      <c r="AG5" s="2029" t="s">
        <v>733</v>
      </c>
      <c r="AH5" s="2030"/>
      <c r="AI5" s="2030"/>
      <c r="AJ5" s="2030"/>
      <c r="AK5" s="2030"/>
      <c r="AL5" s="2030"/>
      <c r="AM5" s="2030"/>
      <c r="AN5" s="2030"/>
      <c r="AO5" s="2030"/>
      <c r="AP5" s="2030"/>
      <c r="AQ5" s="2031"/>
      <c r="AR5" s="2036" t="s">
        <v>734</v>
      </c>
      <c r="AS5" s="2035" t="s">
        <v>735</v>
      </c>
      <c r="AT5" s="1322"/>
      <c r="AU5" s="1322"/>
      <c r="AV5" s="1322"/>
      <c r="AW5" s="1322"/>
      <c r="AX5" s="1322"/>
      <c r="AY5" s="1322"/>
      <c r="AZ5" s="1322"/>
      <c r="BA5" s="1322"/>
      <c r="BB5" s="1322"/>
      <c r="BC5" s="1322"/>
      <c r="BD5" s="1322"/>
      <c r="BE5" s="1322"/>
      <c r="BF5" s="1322"/>
      <c r="BG5" s="1322"/>
      <c r="BH5" s="1322"/>
      <c r="BI5" s="1322"/>
      <c r="BJ5" s="1322"/>
      <c r="BK5" s="1322"/>
      <c r="BL5" s="1322"/>
      <c r="BM5" s="1322"/>
      <c r="BN5" s="1322"/>
      <c r="BO5" s="1322"/>
      <c r="BP5" s="1322"/>
      <c r="BQ5" s="1322"/>
    </row>
    <row r="6" spans="1:69" s="1325" customFormat="1" ht="40.5" customHeight="1" x14ac:dyDescent="0.25">
      <c r="A6" s="2028"/>
      <c r="B6" s="2028"/>
      <c r="C6" s="2033" t="s">
        <v>15</v>
      </c>
      <c r="D6" s="2035" t="s">
        <v>736</v>
      </c>
      <c r="E6" s="2035"/>
      <c r="F6" s="2035" t="s">
        <v>737</v>
      </c>
      <c r="G6" s="2035"/>
      <c r="H6" s="2035" t="s">
        <v>738</v>
      </c>
      <c r="I6" s="2035"/>
      <c r="J6" s="2035" t="s">
        <v>739</v>
      </c>
      <c r="K6" s="2035"/>
      <c r="L6" s="2033" t="s">
        <v>15</v>
      </c>
      <c r="M6" s="2035" t="s">
        <v>339</v>
      </c>
      <c r="N6" s="2035"/>
      <c r="O6" s="2035"/>
      <c r="P6" s="2035" t="s">
        <v>740</v>
      </c>
      <c r="Q6" s="2035"/>
      <c r="R6" s="2035"/>
      <c r="S6" s="2044" t="s">
        <v>15</v>
      </c>
      <c r="T6" s="2045" t="s">
        <v>741</v>
      </c>
      <c r="U6" s="2046"/>
      <c r="V6" s="2045" t="s">
        <v>742</v>
      </c>
      <c r="W6" s="2046"/>
      <c r="X6" s="2045" t="s">
        <v>743</v>
      </c>
      <c r="Y6" s="2046"/>
      <c r="Z6" s="2045" t="s">
        <v>744</v>
      </c>
      <c r="AA6" s="2046"/>
      <c r="AB6" s="2045" t="s">
        <v>745</v>
      </c>
      <c r="AC6" s="2046"/>
      <c r="AD6" s="2049" t="s">
        <v>15</v>
      </c>
      <c r="AE6" s="2035" t="s">
        <v>260</v>
      </c>
      <c r="AF6" s="2051" t="s">
        <v>287</v>
      </c>
      <c r="AG6" s="2049" t="s">
        <v>15</v>
      </c>
      <c r="AH6" s="2045" t="s">
        <v>370</v>
      </c>
      <c r="AI6" s="2046"/>
      <c r="AJ6" s="2045" t="s">
        <v>746</v>
      </c>
      <c r="AK6" s="2046"/>
      <c r="AL6" s="2045" t="s">
        <v>747</v>
      </c>
      <c r="AM6" s="2046"/>
      <c r="AN6" s="2045" t="s">
        <v>565</v>
      </c>
      <c r="AO6" s="2046"/>
      <c r="AP6" s="2045" t="s">
        <v>566</v>
      </c>
      <c r="AQ6" s="2046"/>
      <c r="AR6" s="2037"/>
      <c r="AS6" s="2035"/>
      <c r="AT6" s="1324"/>
      <c r="AU6" s="1324"/>
      <c r="AV6" s="1324"/>
      <c r="AW6" s="1324"/>
      <c r="AX6" s="1324"/>
      <c r="AY6" s="1324"/>
      <c r="AZ6" s="1324"/>
      <c r="BA6" s="1324"/>
      <c r="BB6" s="1324"/>
      <c r="BC6" s="1324"/>
      <c r="BD6" s="1324"/>
      <c r="BE6" s="1324"/>
      <c r="BF6" s="1324"/>
      <c r="BG6" s="1324"/>
      <c r="BH6" s="1324"/>
      <c r="BI6" s="1324"/>
      <c r="BJ6" s="1324"/>
      <c r="BK6" s="1324"/>
      <c r="BL6" s="1324"/>
      <c r="BM6" s="1324"/>
      <c r="BN6" s="1324"/>
      <c r="BO6" s="1324"/>
      <c r="BP6" s="1324"/>
      <c r="BQ6" s="1324"/>
    </row>
    <row r="7" spans="1:69" s="1325" customFormat="1" ht="31.5" customHeight="1" x14ac:dyDescent="0.25">
      <c r="A7" s="2028"/>
      <c r="B7" s="2028"/>
      <c r="C7" s="2034"/>
      <c r="D7" s="1409" t="s">
        <v>260</v>
      </c>
      <c r="E7" s="1409" t="s">
        <v>287</v>
      </c>
      <c r="F7" s="1409" t="s">
        <v>260</v>
      </c>
      <c r="G7" s="1409" t="s">
        <v>287</v>
      </c>
      <c r="H7" s="1409" t="s">
        <v>260</v>
      </c>
      <c r="I7" s="1409" t="s">
        <v>287</v>
      </c>
      <c r="J7" s="1409" t="s">
        <v>260</v>
      </c>
      <c r="K7" s="1409" t="s">
        <v>287</v>
      </c>
      <c r="L7" s="2034"/>
      <c r="M7" s="1326" t="s">
        <v>333</v>
      </c>
      <c r="N7" s="1326" t="s">
        <v>260</v>
      </c>
      <c r="O7" s="1326" t="s">
        <v>287</v>
      </c>
      <c r="P7" s="1326" t="s">
        <v>333</v>
      </c>
      <c r="Q7" s="1326" t="s">
        <v>260</v>
      </c>
      <c r="R7" s="1326" t="s">
        <v>287</v>
      </c>
      <c r="S7" s="2044"/>
      <c r="T7" s="1326" t="s">
        <v>260</v>
      </c>
      <c r="U7" s="1326" t="s">
        <v>287</v>
      </c>
      <c r="V7" s="1326" t="s">
        <v>260</v>
      </c>
      <c r="W7" s="1326" t="s">
        <v>287</v>
      </c>
      <c r="X7" s="1326" t="s">
        <v>260</v>
      </c>
      <c r="Y7" s="1326" t="s">
        <v>287</v>
      </c>
      <c r="Z7" s="1326" t="s">
        <v>260</v>
      </c>
      <c r="AA7" s="1326" t="s">
        <v>287</v>
      </c>
      <c r="AB7" s="1326" t="s">
        <v>260</v>
      </c>
      <c r="AC7" s="1326" t="s">
        <v>287</v>
      </c>
      <c r="AD7" s="2050"/>
      <c r="AE7" s="2035"/>
      <c r="AF7" s="2052"/>
      <c r="AG7" s="2050"/>
      <c r="AH7" s="1326" t="s">
        <v>260</v>
      </c>
      <c r="AI7" s="1326" t="s">
        <v>287</v>
      </c>
      <c r="AJ7" s="1326" t="s">
        <v>260</v>
      </c>
      <c r="AK7" s="1326" t="s">
        <v>287</v>
      </c>
      <c r="AL7" s="1326" t="s">
        <v>260</v>
      </c>
      <c r="AM7" s="1326" t="s">
        <v>287</v>
      </c>
      <c r="AN7" s="1326" t="s">
        <v>260</v>
      </c>
      <c r="AO7" s="1326" t="s">
        <v>287</v>
      </c>
      <c r="AP7" s="1326" t="s">
        <v>260</v>
      </c>
      <c r="AQ7" s="1326" t="s">
        <v>287</v>
      </c>
      <c r="AR7" s="2038"/>
      <c r="AS7" s="2035"/>
      <c r="AT7" s="1324"/>
      <c r="AU7" s="1324"/>
      <c r="AV7" s="1324"/>
      <c r="AW7" s="1324"/>
      <c r="AX7" s="1324"/>
      <c r="AY7" s="1324"/>
      <c r="AZ7" s="1324"/>
      <c r="BA7" s="1324"/>
      <c r="BB7" s="1324"/>
      <c r="BC7" s="1324"/>
      <c r="BD7" s="1324"/>
      <c r="BE7" s="1324"/>
      <c r="BF7" s="1324"/>
      <c r="BG7" s="1324"/>
      <c r="BH7" s="1324"/>
      <c r="BI7" s="1324"/>
      <c r="BJ7" s="1324"/>
      <c r="BK7" s="1324"/>
      <c r="BL7" s="1324"/>
      <c r="BM7" s="1324"/>
      <c r="BN7" s="1324"/>
      <c r="BO7" s="1324"/>
      <c r="BP7" s="1324"/>
      <c r="BQ7" s="1324"/>
    </row>
    <row r="8" spans="1:69" s="1333" customFormat="1" ht="13.5" x14ac:dyDescent="0.25">
      <c r="A8" s="1327" t="s">
        <v>4</v>
      </c>
      <c r="B8" s="1328" t="s">
        <v>5</v>
      </c>
      <c r="C8" s="1329">
        <v>1</v>
      </c>
      <c r="D8" s="1330">
        <v>2</v>
      </c>
      <c r="E8" s="1330">
        <v>3</v>
      </c>
      <c r="F8" s="1331">
        <v>4</v>
      </c>
      <c r="G8" s="1330">
        <v>5</v>
      </c>
      <c r="H8" s="1329">
        <v>6</v>
      </c>
      <c r="I8" s="1330">
        <v>7</v>
      </c>
      <c r="J8" s="1330">
        <v>8</v>
      </c>
      <c r="K8" s="1331">
        <v>9</v>
      </c>
      <c r="L8" s="1330">
        <v>10</v>
      </c>
      <c r="M8" s="1329">
        <v>11</v>
      </c>
      <c r="N8" s="1330">
        <v>12</v>
      </c>
      <c r="O8" s="1330">
        <v>13</v>
      </c>
      <c r="P8" s="1331">
        <v>14</v>
      </c>
      <c r="Q8" s="1330">
        <v>15</v>
      </c>
      <c r="R8" s="1329">
        <v>16</v>
      </c>
      <c r="S8" s="1330">
        <v>17</v>
      </c>
      <c r="T8" s="1330">
        <v>18</v>
      </c>
      <c r="U8" s="1331">
        <v>19</v>
      </c>
      <c r="V8" s="1330">
        <v>20</v>
      </c>
      <c r="W8" s="1329">
        <v>21</v>
      </c>
      <c r="X8" s="1330">
        <v>22</v>
      </c>
      <c r="Y8" s="1330">
        <v>23</v>
      </c>
      <c r="Z8" s="1331">
        <v>24</v>
      </c>
      <c r="AA8" s="1330">
        <v>25</v>
      </c>
      <c r="AB8" s="1329">
        <v>26</v>
      </c>
      <c r="AC8" s="1330">
        <v>27</v>
      </c>
      <c r="AD8" s="1330">
        <v>28</v>
      </c>
      <c r="AE8" s="1331">
        <v>29</v>
      </c>
      <c r="AF8" s="1330">
        <v>30</v>
      </c>
      <c r="AG8" s="1329">
        <v>31</v>
      </c>
      <c r="AH8" s="1330">
        <v>32</v>
      </c>
      <c r="AI8" s="1330">
        <v>33</v>
      </c>
      <c r="AJ8" s="1331">
        <v>34</v>
      </c>
      <c r="AK8" s="1330">
        <v>35</v>
      </c>
      <c r="AL8" s="1329">
        <v>36</v>
      </c>
      <c r="AM8" s="1330">
        <v>37</v>
      </c>
      <c r="AN8" s="1330">
        <v>38</v>
      </c>
      <c r="AO8" s="1331">
        <v>39</v>
      </c>
      <c r="AP8" s="1330">
        <v>40</v>
      </c>
      <c r="AQ8" s="1329">
        <v>41</v>
      </c>
      <c r="AR8" s="1330">
        <v>42</v>
      </c>
      <c r="AS8" s="1330">
        <v>43</v>
      </c>
      <c r="AT8" s="1332"/>
      <c r="AU8" s="1332"/>
      <c r="AV8" s="1332"/>
      <c r="AW8" s="1332"/>
      <c r="AX8" s="1332"/>
      <c r="AY8" s="1332"/>
      <c r="AZ8" s="1332"/>
      <c r="BA8" s="1332"/>
      <c r="BB8" s="1332"/>
      <c r="BC8" s="1332"/>
      <c r="BD8" s="1332"/>
      <c r="BE8" s="1332"/>
      <c r="BF8" s="1332"/>
      <c r="BG8" s="1332"/>
      <c r="BH8" s="1332"/>
      <c r="BI8" s="1332"/>
      <c r="BJ8" s="1332"/>
      <c r="BK8" s="1332"/>
      <c r="BL8" s="1332"/>
      <c r="BM8" s="1332"/>
      <c r="BN8" s="1332"/>
      <c r="BO8" s="1332"/>
      <c r="BP8" s="1332"/>
      <c r="BQ8" s="1332"/>
    </row>
    <row r="9" spans="1:69" s="1313" customFormat="1" ht="27.75" customHeight="1" x14ac:dyDescent="0.25">
      <c r="A9" s="1334"/>
      <c r="B9" s="1334" t="s">
        <v>748</v>
      </c>
      <c r="C9" s="1454">
        <f>C10+C63</f>
        <v>74000</v>
      </c>
      <c r="D9" s="1454">
        <f t="shared" ref="D9:AR9" si="0">D10+D63</f>
        <v>0</v>
      </c>
      <c r="E9" s="1454">
        <f t="shared" si="0"/>
        <v>0</v>
      </c>
      <c r="F9" s="1454">
        <f t="shared" si="0"/>
        <v>0</v>
      </c>
      <c r="G9" s="1454">
        <f t="shared" si="0"/>
        <v>0</v>
      </c>
      <c r="H9" s="1454">
        <f t="shared" si="0"/>
        <v>0</v>
      </c>
      <c r="I9" s="1454">
        <f t="shared" si="0"/>
        <v>0</v>
      </c>
      <c r="J9" s="1454">
        <f t="shared" si="0"/>
        <v>74000</v>
      </c>
      <c r="K9" s="1454">
        <f t="shared" si="0"/>
        <v>0</v>
      </c>
      <c r="L9" s="1454">
        <f t="shared" si="0"/>
        <v>1197000</v>
      </c>
      <c r="M9" s="1454">
        <f t="shared" si="0"/>
        <v>1197000</v>
      </c>
      <c r="N9" s="1454">
        <f t="shared" si="0"/>
        <v>0</v>
      </c>
      <c r="O9" s="1454">
        <f t="shared" si="0"/>
        <v>1197000</v>
      </c>
      <c r="P9" s="1454">
        <f t="shared" si="0"/>
        <v>0</v>
      </c>
      <c r="Q9" s="1454">
        <f t="shared" si="0"/>
        <v>0</v>
      </c>
      <c r="R9" s="1454">
        <f t="shared" si="0"/>
        <v>0</v>
      </c>
      <c r="S9" s="1454">
        <f t="shared" si="0"/>
        <v>516129.13700000005</v>
      </c>
      <c r="T9" s="1454">
        <f t="shared" si="0"/>
        <v>0</v>
      </c>
      <c r="U9" s="1454">
        <f t="shared" si="0"/>
        <v>0</v>
      </c>
      <c r="V9" s="1454">
        <f t="shared" si="0"/>
        <v>0</v>
      </c>
      <c r="W9" s="1454">
        <f t="shared" si="0"/>
        <v>0</v>
      </c>
      <c r="X9" s="1454">
        <f t="shared" si="0"/>
        <v>0</v>
      </c>
      <c r="Y9" s="1454">
        <f t="shared" si="0"/>
        <v>0</v>
      </c>
      <c r="Z9" s="1454">
        <f t="shared" si="0"/>
        <v>60964.895000000004</v>
      </c>
      <c r="AA9" s="1454">
        <f t="shared" si="0"/>
        <v>0</v>
      </c>
      <c r="AB9" s="1454">
        <f t="shared" si="0"/>
        <v>0</v>
      </c>
      <c r="AC9" s="1454">
        <f t="shared" si="0"/>
        <v>455164.24200000003</v>
      </c>
      <c r="AD9" s="1454">
        <f t="shared" si="0"/>
        <v>0</v>
      </c>
      <c r="AE9" s="1454">
        <f t="shared" si="0"/>
        <v>0</v>
      </c>
      <c r="AF9" s="1454">
        <f t="shared" si="0"/>
        <v>0</v>
      </c>
      <c r="AG9" s="1454">
        <f t="shared" si="0"/>
        <v>828870.86300000013</v>
      </c>
      <c r="AH9" s="1454">
        <f t="shared" si="0"/>
        <v>0</v>
      </c>
      <c r="AI9" s="1454">
        <f t="shared" si="0"/>
        <v>0</v>
      </c>
      <c r="AJ9" s="1454">
        <f t="shared" si="0"/>
        <v>0</v>
      </c>
      <c r="AK9" s="1454">
        <f t="shared" si="0"/>
        <v>0</v>
      </c>
      <c r="AL9" s="1454">
        <f t="shared" si="0"/>
        <v>0</v>
      </c>
      <c r="AM9" s="1454">
        <f t="shared" si="0"/>
        <v>0</v>
      </c>
      <c r="AN9" s="1454">
        <f t="shared" si="0"/>
        <v>0</v>
      </c>
      <c r="AO9" s="1454">
        <f t="shared" si="0"/>
        <v>0</v>
      </c>
      <c r="AP9" s="1454">
        <f t="shared" si="0"/>
        <v>13035.105</v>
      </c>
      <c r="AQ9" s="1454">
        <f t="shared" si="0"/>
        <v>815835.75799999991</v>
      </c>
      <c r="AR9" s="1454">
        <f t="shared" si="0"/>
        <v>0</v>
      </c>
      <c r="AS9" s="1335"/>
      <c r="AT9" s="1312"/>
      <c r="AU9" s="1312"/>
      <c r="AV9" s="1312"/>
      <c r="AW9" s="1312"/>
      <c r="AX9" s="1312"/>
      <c r="AY9" s="1312"/>
      <c r="AZ9" s="1312"/>
      <c r="BA9" s="1312"/>
      <c r="BB9" s="1312"/>
      <c r="BC9" s="1312"/>
      <c r="BD9" s="1312"/>
      <c r="BE9" s="1312"/>
      <c r="BF9" s="1312"/>
      <c r="BG9" s="1312"/>
      <c r="BH9" s="1312"/>
      <c r="BI9" s="1312"/>
      <c r="BJ9" s="1312"/>
      <c r="BK9" s="1312"/>
      <c r="BL9" s="1312"/>
      <c r="BM9" s="1312"/>
      <c r="BN9" s="1312"/>
      <c r="BO9" s="1312"/>
      <c r="BP9" s="1312"/>
      <c r="BQ9" s="1312"/>
    </row>
    <row r="10" spans="1:69" s="1313" customFormat="1" ht="27.75" customHeight="1" x14ac:dyDescent="0.25">
      <c r="A10" s="1334" t="s">
        <v>4</v>
      </c>
      <c r="B10" s="1336" t="s">
        <v>749</v>
      </c>
      <c r="C10" s="1454">
        <f>C11+C35</f>
        <v>74000</v>
      </c>
      <c r="D10" s="1454">
        <f t="shared" ref="D10:AR10" si="1">D11+D35</f>
        <v>0</v>
      </c>
      <c r="E10" s="1454">
        <f t="shared" si="1"/>
        <v>0</v>
      </c>
      <c r="F10" s="1454">
        <f t="shared" si="1"/>
        <v>0</v>
      </c>
      <c r="G10" s="1454">
        <f t="shared" si="1"/>
        <v>0</v>
      </c>
      <c r="H10" s="1454">
        <f t="shared" si="1"/>
        <v>0</v>
      </c>
      <c r="I10" s="1454">
        <f t="shared" si="1"/>
        <v>0</v>
      </c>
      <c r="J10" s="1454">
        <f t="shared" si="1"/>
        <v>74000</v>
      </c>
      <c r="K10" s="1454">
        <f t="shared" si="1"/>
        <v>0</v>
      </c>
      <c r="L10" s="1454">
        <f t="shared" si="1"/>
        <v>736000</v>
      </c>
      <c r="M10" s="1454">
        <f t="shared" si="1"/>
        <v>736000</v>
      </c>
      <c r="N10" s="1454">
        <f t="shared" si="1"/>
        <v>0</v>
      </c>
      <c r="O10" s="1454">
        <f t="shared" si="1"/>
        <v>736000</v>
      </c>
      <c r="P10" s="1454">
        <f t="shared" si="1"/>
        <v>0</v>
      </c>
      <c r="Q10" s="1454">
        <f t="shared" si="1"/>
        <v>0</v>
      </c>
      <c r="R10" s="1454">
        <f t="shared" si="1"/>
        <v>0</v>
      </c>
      <c r="S10" s="1454">
        <f t="shared" si="1"/>
        <v>315075.43700000003</v>
      </c>
      <c r="T10" s="1454">
        <f t="shared" si="1"/>
        <v>0</v>
      </c>
      <c r="U10" s="1454">
        <f t="shared" si="1"/>
        <v>0</v>
      </c>
      <c r="V10" s="1454">
        <f t="shared" si="1"/>
        <v>0</v>
      </c>
      <c r="W10" s="1454">
        <f t="shared" si="1"/>
        <v>0</v>
      </c>
      <c r="X10" s="1454">
        <f t="shared" si="1"/>
        <v>0</v>
      </c>
      <c r="Y10" s="1454">
        <f t="shared" si="1"/>
        <v>0</v>
      </c>
      <c r="Z10" s="1454">
        <f t="shared" si="1"/>
        <v>60964.895000000004</v>
      </c>
      <c r="AA10" s="1454">
        <f t="shared" si="1"/>
        <v>0</v>
      </c>
      <c r="AB10" s="1454">
        <f t="shared" si="1"/>
        <v>0</v>
      </c>
      <c r="AC10" s="1454">
        <f t="shared" si="1"/>
        <v>254110.54200000002</v>
      </c>
      <c r="AD10" s="1454">
        <f t="shared" si="1"/>
        <v>0</v>
      </c>
      <c r="AE10" s="1454">
        <f t="shared" si="1"/>
        <v>0</v>
      </c>
      <c r="AF10" s="1454">
        <f t="shared" si="1"/>
        <v>0</v>
      </c>
      <c r="AG10" s="1454">
        <f t="shared" si="1"/>
        <v>568924.56300000008</v>
      </c>
      <c r="AH10" s="1454">
        <f t="shared" si="1"/>
        <v>0</v>
      </c>
      <c r="AI10" s="1454">
        <f t="shared" si="1"/>
        <v>0</v>
      </c>
      <c r="AJ10" s="1454">
        <f t="shared" si="1"/>
        <v>0</v>
      </c>
      <c r="AK10" s="1454">
        <f t="shared" si="1"/>
        <v>0</v>
      </c>
      <c r="AL10" s="1454">
        <f t="shared" si="1"/>
        <v>0</v>
      </c>
      <c r="AM10" s="1454">
        <f t="shared" si="1"/>
        <v>0</v>
      </c>
      <c r="AN10" s="1454">
        <f t="shared" si="1"/>
        <v>0</v>
      </c>
      <c r="AO10" s="1454">
        <f t="shared" si="1"/>
        <v>0</v>
      </c>
      <c r="AP10" s="1454">
        <f t="shared" si="1"/>
        <v>13035.105</v>
      </c>
      <c r="AQ10" s="1454">
        <f t="shared" si="1"/>
        <v>555889.45799999998</v>
      </c>
      <c r="AR10" s="1454">
        <f t="shared" si="1"/>
        <v>0</v>
      </c>
      <c r="AS10" s="1335"/>
      <c r="AT10" s="1312"/>
      <c r="AU10" s="1312"/>
      <c r="AV10" s="1312"/>
      <c r="AW10" s="1312"/>
      <c r="AX10" s="1312"/>
      <c r="AY10" s="1312"/>
      <c r="AZ10" s="1312"/>
      <c r="BA10" s="1312"/>
      <c r="BB10" s="1312"/>
      <c r="BC10" s="1312"/>
      <c r="BD10" s="1312"/>
      <c r="BE10" s="1312"/>
      <c r="BF10" s="1312"/>
      <c r="BG10" s="1312"/>
      <c r="BH10" s="1312"/>
      <c r="BI10" s="1312"/>
      <c r="BJ10" s="1312"/>
      <c r="BK10" s="1312"/>
      <c r="BL10" s="1312"/>
      <c r="BM10" s="1312"/>
      <c r="BN10" s="1312"/>
      <c r="BO10" s="1312"/>
      <c r="BP10" s="1312"/>
      <c r="BQ10" s="1312"/>
    </row>
    <row r="11" spans="1:69" s="1347" customFormat="1" ht="33.75" customHeight="1" x14ac:dyDescent="0.25">
      <c r="A11" s="1344" t="s">
        <v>6</v>
      </c>
      <c r="B11" s="1345" t="s">
        <v>752</v>
      </c>
      <c r="C11" s="1454">
        <f>SUM(C12:C14)</f>
        <v>0</v>
      </c>
      <c r="D11" s="1454">
        <f t="shared" ref="D11:AR11" si="2">SUM(D12:D14)</f>
        <v>0</v>
      </c>
      <c r="E11" s="1454">
        <f t="shared" si="2"/>
        <v>0</v>
      </c>
      <c r="F11" s="1454">
        <f t="shared" si="2"/>
        <v>0</v>
      </c>
      <c r="G11" s="1454">
        <f t="shared" si="2"/>
        <v>0</v>
      </c>
      <c r="H11" s="1454">
        <f t="shared" si="2"/>
        <v>0</v>
      </c>
      <c r="I11" s="1454">
        <f t="shared" si="2"/>
        <v>0</v>
      </c>
      <c r="J11" s="1454">
        <f t="shared" si="2"/>
        <v>0</v>
      </c>
      <c r="K11" s="1454">
        <f t="shared" si="2"/>
        <v>0</v>
      </c>
      <c r="L11" s="1454">
        <f t="shared" si="2"/>
        <v>552000</v>
      </c>
      <c r="M11" s="1454">
        <f t="shared" si="2"/>
        <v>552000</v>
      </c>
      <c r="N11" s="1454">
        <f t="shared" si="2"/>
        <v>0</v>
      </c>
      <c r="O11" s="1454">
        <f t="shared" si="2"/>
        <v>552000</v>
      </c>
      <c r="P11" s="1454">
        <f t="shared" si="2"/>
        <v>0</v>
      </c>
      <c r="Q11" s="1454">
        <f t="shared" si="2"/>
        <v>0</v>
      </c>
      <c r="R11" s="1454">
        <f t="shared" si="2"/>
        <v>0</v>
      </c>
      <c r="S11" s="1454">
        <f t="shared" si="2"/>
        <v>187115.38800000001</v>
      </c>
      <c r="T11" s="1454">
        <f t="shared" si="2"/>
        <v>0</v>
      </c>
      <c r="U11" s="1454">
        <f t="shared" si="2"/>
        <v>0</v>
      </c>
      <c r="V11" s="1454">
        <f t="shared" si="2"/>
        <v>0</v>
      </c>
      <c r="W11" s="1454">
        <f t="shared" si="2"/>
        <v>0</v>
      </c>
      <c r="X11" s="1454">
        <f t="shared" si="2"/>
        <v>0</v>
      </c>
      <c r="Y11" s="1454">
        <f t="shared" si="2"/>
        <v>0</v>
      </c>
      <c r="Z11" s="1454">
        <f t="shared" si="2"/>
        <v>0</v>
      </c>
      <c r="AA11" s="1454">
        <f t="shared" si="2"/>
        <v>0</v>
      </c>
      <c r="AB11" s="1454">
        <f t="shared" si="2"/>
        <v>0</v>
      </c>
      <c r="AC11" s="1454">
        <f t="shared" si="2"/>
        <v>187115.38800000001</v>
      </c>
      <c r="AD11" s="1454">
        <f t="shared" si="2"/>
        <v>0</v>
      </c>
      <c r="AE11" s="1454">
        <f t="shared" si="2"/>
        <v>0</v>
      </c>
      <c r="AF11" s="1454">
        <f t="shared" si="2"/>
        <v>0</v>
      </c>
      <c r="AG11" s="1454">
        <f t="shared" si="2"/>
        <v>364884.61200000002</v>
      </c>
      <c r="AH11" s="1454">
        <f t="shared" si="2"/>
        <v>0</v>
      </c>
      <c r="AI11" s="1454">
        <f t="shared" si="2"/>
        <v>0</v>
      </c>
      <c r="AJ11" s="1454">
        <f t="shared" si="2"/>
        <v>0</v>
      </c>
      <c r="AK11" s="1454">
        <f t="shared" si="2"/>
        <v>0</v>
      </c>
      <c r="AL11" s="1454">
        <f t="shared" si="2"/>
        <v>0</v>
      </c>
      <c r="AM11" s="1454">
        <f t="shared" si="2"/>
        <v>0</v>
      </c>
      <c r="AN11" s="1454">
        <f t="shared" si="2"/>
        <v>0</v>
      </c>
      <c r="AO11" s="1454">
        <f t="shared" si="2"/>
        <v>0</v>
      </c>
      <c r="AP11" s="1454">
        <f t="shared" si="2"/>
        <v>0</v>
      </c>
      <c r="AQ11" s="1454">
        <f t="shared" si="2"/>
        <v>364884.61200000002</v>
      </c>
      <c r="AR11" s="1454">
        <f t="shared" si="2"/>
        <v>0</v>
      </c>
      <c r="AS11" s="1343"/>
      <c r="AT11" s="1346"/>
      <c r="AU11" s="1346"/>
      <c r="AV11" s="1346"/>
      <c r="AW11" s="1346"/>
      <c r="AX11" s="1346"/>
      <c r="AY11" s="1346"/>
      <c r="AZ11" s="1346"/>
      <c r="BA11" s="1346"/>
      <c r="BB11" s="1346"/>
      <c r="BC11" s="1346"/>
      <c r="BD11" s="1346"/>
      <c r="BE11" s="1346"/>
      <c r="BF11" s="1346"/>
      <c r="BG11" s="1346"/>
      <c r="BH11" s="1346"/>
      <c r="BI11" s="1346"/>
      <c r="BJ11" s="1346"/>
      <c r="BK11" s="1346"/>
      <c r="BL11" s="1346"/>
      <c r="BM11" s="1346"/>
      <c r="BN11" s="1346"/>
      <c r="BO11" s="1346"/>
      <c r="BP11" s="1346"/>
      <c r="BQ11" s="1346"/>
    </row>
    <row r="12" spans="1:69" s="1342" customFormat="1" ht="21.75" customHeight="1" x14ac:dyDescent="0.25">
      <c r="A12" s="1339" t="s">
        <v>25</v>
      </c>
      <c r="B12" s="1338" t="s">
        <v>750</v>
      </c>
      <c r="C12" s="1453">
        <f t="shared" ref="C12:R13" si="3">C16+C20+C24+C28+C32</f>
        <v>0</v>
      </c>
      <c r="D12" s="1453">
        <f t="shared" si="3"/>
        <v>0</v>
      </c>
      <c r="E12" s="1453">
        <f t="shared" si="3"/>
        <v>0</v>
      </c>
      <c r="F12" s="1453">
        <f t="shared" si="3"/>
        <v>0</v>
      </c>
      <c r="G12" s="1453">
        <f t="shared" si="3"/>
        <v>0</v>
      </c>
      <c r="H12" s="1453">
        <f t="shared" si="3"/>
        <v>0</v>
      </c>
      <c r="I12" s="1453">
        <f t="shared" si="3"/>
        <v>0</v>
      </c>
      <c r="J12" s="1453">
        <f t="shared" si="3"/>
        <v>0</v>
      </c>
      <c r="K12" s="1453">
        <f t="shared" si="3"/>
        <v>0</v>
      </c>
      <c r="L12" s="1453">
        <f t="shared" si="3"/>
        <v>535000</v>
      </c>
      <c r="M12" s="1453">
        <f t="shared" si="3"/>
        <v>535000</v>
      </c>
      <c r="N12" s="1453">
        <f t="shared" si="3"/>
        <v>0</v>
      </c>
      <c r="O12" s="1453">
        <f t="shared" si="3"/>
        <v>535000</v>
      </c>
      <c r="P12" s="1453">
        <f t="shared" si="3"/>
        <v>0</v>
      </c>
      <c r="Q12" s="1453">
        <f t="shared" si="3"/>
        <v>0</v>
      </c>
      <c r="R12" s="1453">
        <f t="shared" si="3"/>
        <v>0</v>
      </c>
      <c r="S12" s="1453">
        <f t="shared" ref="D12:AR13" si="4">S16+S20+S24+S28+S32</f>
        <v>186115.38800000001</v>
      </c>
      <c r="T12" s="1453">
        <f t="shared" si="4"/>
        <v>0</v>
      </c>
      <c r="U12" s="1453">
        <f t="shared" si="4"/>
        <v>0</v>
      </c>
      <c r="V12" s="1453">
        <f t="shared" si="4"/>
        <v>0</v>
      </c>
      <c r="W12" s="1453">
        <f t="shared" si="4"/>
        <v>0</v>
      </c>
      <c r="X12" s="1453">
        <f t="shared" si="4"/>
        <v>0</v>
      </c>
      <c r="Y12" s="1453">
        <f t="shared" si="4"/>
        <v>0</v>
      </c>
      <c r="Z12" s="1453">
        <f t="shared" si="4"/>
        <v>0</v>
      </c>
      <c r="AA12" s="1453">
        <f t="shared" si="4"/>
        <v>0</v>
      </c>
      <c r="AB12" s="1453">
        <f t="shared" si="4"/>
        <v>0</v>
      </c>
      <c r="AC12" s="1453">
        <f t="shared" si="4"/>
        <v>186115.38800000001</v>
      </c>
      <c r="AD12" s="1453">
        <f t="shared" si="4"/>
        <v>0</v>
      </c>
      <c r="AE12" s="1453">
        <f t="shared" si="4"/>
        <v>0</v>
      </c>
      <c r="AF12" s="1453">
        <f t="shared" si="4"/>
        <v>0</v>
      </c>
      <c r="AG12" s="1453">
        <f t="shared" si="4"/>
        <v>348884.61200000002</v>
      </c>
      <c r="AH12" s="1453">
        <f t="shared" si="4"/>
        <v>0</v>
      </c>
      <c r="AI12" s="1453">
        <f t="shared" si="4"/>
        <v>0</v>
      </c>
      <c r="AJ12" s="1453">
        <f t="shared" si="4"/>
        <v>0</v>
      </c>
      <c r="AK12" s="1453">
        <f t="shared" si="4"/>
        <v>0</v>
      </c>
      <c r="AL12" s="1453">
        <f t="shared" si="4"/>
        <v>0</v>
      </c>
      <c r="AM12" s="1453">
        <f t="shared" si="4"/>
        <v>0</v>
      </c>
      <c r="AN12" s="1453">
        <f t="shared" si="4"/>
        <v>0</v>
      </c>
      <c r="AO12" s="1453">
        <f t="shared" si="4"/>
        <v>0</v>
      </c>
      <c r="AP12" s="1453">
        <f t="shared" si="4"/>
        <v>0</v>
      </c>
      <c r="AQ12" s="1453">
        <f t="shared" si="4"/>
        <v>348884.61200000002</v>
      </c>
      <c r="AR12" s="1453">
        <f t="shared" si="4"/>
        <v>0</v>
      </c>
      <c r="AS12" s="1340"/>
      <c r="AT12" s="1341"/>
      <c r="AU12" s="1341"/>
      <c r="AV12" s="1341"/>
      <c r="AW12" s="1341"/>
      <c r="AX12" s="1341"/>
      <c r="AY12" s="1341"/>
      <c r="AZ12" s="1341"/>
      <c r="BA12" s="1341"/>
      <c r="BB12" s="1341"/>
      <c r="BC12" s="1341"/>
      <c r="BD12" s="1341"/>
      <c r="BE12" s="1341"/>
      <c r="BF12" s="1341"/>
      <c r="BG12" s="1341"/>
      <c r="BH12" s="1341"/>
      <c r="BI12" s="1341"/>
      <c r="BJ12" s="1341"/>
      <c r="BK12" s="1341"/>
      <c r="BL12" s="1341"/>
      <c r="BM12" s="1341"/>
      <c r="BN12" s="1341"/>
      <c r="BO12" s="1341"/>
      <c r="BP12" s="1341"/>
      <c r="BQ12" s="1341"/>
    </row>
    <row r="13" spans="1:69" s="1342" customFormat="1" ht="21.75" customHeight="1" x14ac:dyDescent="0.25">
      <c r="A13" s="1339" t="s">
        <v>25</v>
      </c>
      <c r="B13" s="1338" t="s">
        <v>751</v>
      </c>
      <c r="C13" s="1453">
        <f t="shared" si="3"/>
        <v>0</v>
      </c>
      <c r="D13" s="1453">
        <f t="shared" si="4"/>
        <v>0</v>
      </c>
      <c r="E13" s="1453">
        <f t="shared" si="4"/>
        <v>0</v>
      </c>
      <c r="F13" s="1453">
        <f t="shared" si="4"/>
        <v>0</v>
      </c>
      <c r="G13" s="1453">
        <f t="shared" si="4"/>
        <v>0</v>
      </c>
      <c r="H13" s="1453">
        <f t="shared" si="4"/>
        <v>0</v>
      </c>
      <c r="I13" s="1453">
        <f t="shared" si="4"/>
        <v>0</v>
      </c>
      <c r="J13" s="1453">
        <f t="shared" si="4"/>
        <v>0</v>
      </c>
      <c r="K13" s="1453">
        <f t="shared" si="4"/>
        <v>0</v>
      </c>
      <c r="L13" s="1453">
        <f t="shared" si="4"/>
        <v>17000</v>
      </c>
      <c r="M13" s="1453">
        <f t="shared" si="4"/>
        <v>17000</v>
      </c>
      <c r="N13" s="1453">
        <f t="shared" si="4"/>
        <v>0</v>
      </c>
      <c r="O13" s="1453">
        <f t="shared" si="4"/>
        <v>17000</v>
      </c>
      <c r="P13" s="1453">
        <f t="shared" si="4"/>
        <v>0</v>
      </c>
      <c r="Q13" s="1453">
        <f t="shared" si="4"/>
        <v>0</v>
      </c>
      <c r="R13" s="1453">
        <f t="shared" si="4"/>
        <v>0</v>
      </c>
      <c r="S13" s="1453">
        <f t="shared" si="4"/>
        <v>1000</v>
      </c>
      <c r="T13" s="1453">
        <f t="shared" si="4"/>
        <v>0</v>
      </c>
      <c r="U13" s="1453">
        <f t="shared" si="4"/>
        <v>0</v>
      </c>
      <c r="V13" s="1453">
        <f t="shared" si="4"/>
        <v>0</v>
      </c>
      <c r="W13" s="1453">
        <f t="shared" si="4"/>
        <v>0</v>
      </c>
      <c r="X13" s="1453">
        <f t="shared" si="4"/>
        <v>0</v>
      </c>
      <c r="Y13" s="1453">
        <f t="shared" si="4"/>
        <v>0</v>
      </c>
      <c r="Z13" s="1453">
        <f t="shared" si="4"/>
        <v>0</v>
      </c>
      <c r="AA13" s="1453">
        <f t="shared" si="4"/>
        <v>0</v>
      </c>
      <c r="AB13" s="1453">
        <f t="shared" si="4"/>
        <v>0</v>
      </c>
      <c r="AC13" s="1453">
        <f t="shared" si="4"/>
        <v>1000</v>
      </c>
      <c r="AD13" s="1453">
        <f t="shared" si="4"/>
        <v>0</v>
      </c>
      <c r="AE13" s="1453">
        <f t="shared" si="4"/>
        <v>0</v>
      </c>
      <c r="AF13" s="1453">
        <f t="shared" si="4"/>
        <v>0</v>
      </c>
      <c r="AG13" s="1453">
        <f t="shared" si="4"/>
        <v>16000</v>
      </c>
      <c r="AH13" s="1453">
        <f t="shared" si="4"/>
        <v>0</v>
      </c>
      <c r="AI13" s="1453">
        <f t="shared" si="4"/>
        <v>0</v>
      </c>
      <c r="AJ13" s="1453">
        <f t="shared" si="4"/>
        <v>0</v>
      </c>
      <c r="AK13" s="1453">
        <f t="shared" si="4"/>
        <v>0</v>
      </c>
      <c r="AL13" s="1453">
        <f t="shared" si="4"/>
        <v>0</v>
      </c>
      <c r="AM13" s="1453">
        <f t="shared" si="4"/>
        <v>0</v>
      </c>
      <c r="AN13" s="1453">
        <f t="shared" si="4"/>
        <v>0</v>
      </c>
      <c r="AO13" s="1453">
        <f t="shared" si="4"/>
        <v>0</v>
      </c>
      <c r="AP13" s="1453">
        <f t="shared" si="4"/>
        <v>0</v>
      </c>
      <c r="AQ13" s="1453">
        <f t="shared" si="4"/>
        <v>16000</v>
      </c>
      <c r="AR13" s="1453">
        <f t="shared" si="4"/>
        <v>0</v>
      </c>
      <c r="AS13" s="1340"/>
      <c r="AT13" s="1341"/>
      <c r="AU13" s="1341"/>
      <c r="AV13" s="1341"/>
      <c r="AW13" s="1341"/>
      <c r="AX13" s="1341"/>
      <c r="AY13" s="1341"/>
      <c r="AZ13" s="1341"/>
      <c r="BA13" s="1341"/>
      <c r="BB13" s="1341"/>
      <c r="BC13" s="1341"/>
      <c r="BD13" s="1341"/>
      <c r="BE13" s="1341"/>
      <c r="BF13" s="1341"/>
      <c r="BG13" s="1341"/>
      <c r="BH13" s="1341"/>
      <c r="BI13" s="1341"/>
      <c r="BJ13" s="1341"/>
      <c r="BK13" s="1341"/>
      <c r="BL13" s="1341"/>
      <c r="BM13" s="1341"/>
      <c r="BN13" s="1341"/>
      <c r="BO13" s="1341"/>
      <c r="BP13" s="1341"/>
      <c r="BQ13" s="1341"/>
    </row>
    <row r="14" spans="1:69" s="1342" customFormat="1" x14ac:dyDescent="0.25">
      <c r="A14" s="1339" t="s">
        <v>25</v>
      </c>
      <c r="B14" s="1338" t="s">
        <v>264</v>
      </c>
      <c r="C14" s="1453">
        <f>C18+C22+C26+C30+C34</f>
        <v>0</v>
      </c>
      <c r="D14" s="1453">
        <f t="shared" ref="D14:AR14" si="5">D18+D22+D26+D30+D34</f>
        <v>0</v>
      </c>
      <c r="E14" s="1453">
        <f t="shared" si="5"/>
        <v>0</v>
      </c>
      <c r="F14" s="1453">
        <f t="shared" si="5"/>
        <v>0</v>
      </c>
      <c r="G14" s="1453">
        <f t="shared" si="5"/>
        <v>0</v>
      </c>
      <c r="H14" s="1453">
        <f t="shared" si="5"/>
        <v>0</v>
      </c>
      <c r="I14" s="1453">
        <f t="shared" si="5"/>
        <v>0</v>
      </c>
      <c r="J14" s="1453">
        <f t="shared" si="5"/>
        <v>0</v>
      </c>
      <c r="K14" s="1453">
        <f t="shared" si="5"/>
        <v>0</v>
      </c>
      <c r="L14" s="1453">
        <f t="shared" si="5"/>
        <v>0</v>
      </c>
      <c r="M14" s="1453">
        <f t="shared" si="5"/>
        <v>0</v>
      </c>
      <c r="N14" s="1453">
        <f t="shared" si="5"/>
        <v>0</v>
      </c>
      <c r="O14" s="1453">
        <f t="shared" si="5"/>
        <v>0</v>
      </c>
      <c r="P14" s="1453">
        <f t="shared" si="5"/>
        <v>0</v>
      </c>
      <c r="Q14" s="1453">
        <f t="shared" si="5"/>
        <v>0</v>
      </c>
      <c r="R14" s="1453">
        <f t="shared" si="5"/>
        <v>0</v>
      </c>
      <c r="S14" s="1453">
        <f t="shared" si="5"/>
        <v>0</v>
      </c>
      <c r="T14" s="1453">
        <f t="shared" si="5"/>
        <v>0</v>
      </c>
      <c r="U14" s="1453">
        <f t="shared" si="5"/>
        <v>0</v>
      </c>
      <c r="V14" s="1453">
        <f t="shared" si="5"/>
        <v>0</v>
      </c>
      <c r="W14" s="1453">
        <f t="shared" si="5"/>
        <v>0</v>
      </c>
      <c r="X14" s="1453">
        <f t="shared" si="5"/>
        <v>0</v>
      </c>
      <c r="Y14" s="1453">
        <f t="shared" si="5"/>
        <v>0</v>
      </c>
      <c r="Z14" s="1453">
        <f t="shared" si="5"/>
        <v>0</v>
      </c>
      <c r="AA14" s="1453">
        <f t="shared" si="5"/>
        <v>0</v>
      </c>
      <c r="AB14" s="1453">
        <f t="shared" si="5"/>
        <v>0</v>
      </c>
      <c r="AC14" s="1453">
        <f t="shared" si="5"/>
        <v>0</v>
      </c>
      <c r="AD14" s="1453">
        <f t="shared" si="5"/>
        <v>0</v>
      </c>
      <c r="AE14" s="1453">
        <f t="shared" si="5"/>
        <v>0</v>
      </c>
      <c r="AF14" s="1453">
        <f t="shared" si="5"/>
        <v>0</v>
      </c>
      <c r="AG14" s="1453">
        <f t="shared" si="5"/>
        <v>0</v>
      </c>
      <c r="AH14" s="1453">
        <f t="shared" si="5"/>
        <v>0</v>
      </c>
      <c r="AI14" s="1453">
        <f t="shared" si="5"/>
        <v>0</v>
      </c>
      <c r="AJ14" s="1453">
        <f t="shared" si="5"/>
        <v>0</v>
      </c>
      <c r="AK14" s="1453">
        <f t="shared" si="5"/>
        <v>0</v>
      </c>
      <c r="AL14" s="1453">
        <f t="shared" si="5"/>
        <v>0</v>
      </c>
      <c r="AM14" s="1453">
        <f t="shared" si="5"/>
        <v>0</v>
      </c>
      <c r="AN14" s="1453">
        <f t="shared" si="5"/>
        <v>0</v>
      </c>
      <c r="AO14" s="1453">
        <f t="shared" si="5"/>
        <v>0</v>
      </c>
      <c r="AP14" s="1453">
        <f t="shared" si="5"/>
        <v>0</v>
      </c>
      <c r="AQ14" s="1453">
        <f t="shared" si="5"/>
        <v>0</v>
      </c>
      <c r="AR14" s="1453">
        <f t="shared" si="5"/>
        <v>0</v>
      </c>
      <c r="AS14" s="1340"/>
      <c r="AT14" s="1341"/>
      <c r="AU14" s="1341"/>
      <c r="AV14" s="1341"/>
      <c r="AW14" s="1341"/>
      <c r="AX14" s="1341"/>
      <c r="AY14" s="1341"/>
      <c r="AZ14" s="1341"/>
      <c r="BA14" s="1341"/>
      <c r="BB14" s="1341"/>
      <c r="BC14" s="1341"/>
      <c r="BD14" s="1341"/>
      <c r="BE14" s="1341"/>
      <c r="BF14" s="1341"/>
      <c r="BG14" s="1341"/>
      <c r="BH14" s="1341"/>
      <c r="BI14" s="1341"/>
      <c r="BJ14" s="1341"/>
      <c r="BK14" s="1341"/>
      <c r="BL14" s="1341"/>
      <c r="BM14" s="1341"/>
      <c r="BN14" s="1341"/>
      <c r="BO14" s="1341"/>
      <c r="BP14" s="1341"/>
      <c r="BQ14" s="1341"/>
    </row>
    <row r="15" spans="1:69" s="1350" customFormat="1" ht="47.25" x14ac:dyDescent="0.25">
      <c r="A15" s="1351">
        <v>1</v>
      </c>
      <c r="B15" s="1352" t="s">
        <v>807</v>
      </c>
      <c r="C15" s="1455">
        <f>SUM(C16:C18)</f>
        <v>0</v>
      </c>
      <c r="D15" s="1455">
        <f t="shared" ref="D15:AR15" si="6">SUM(D16:D18)</f>
        <v>0</v>
      </c>
      <c r="E15" s="1455">
        <f t="shared" si="6"/>
        <v>0</v>
      </c>
      <c r="F15" s="1455">
        <f t="shared" si="6"/>
        <v>0</v>
      </c>
      <c r="G15" s="1455">
        <f t="shared" si="6"/>
        <v>0</v>
      </c>
      <c r="H15" s="1455">
        <f t="shared" si="6"/>
        <v>0</v>
      </c>
      <c r="I15" s="1455">
        <f t="shared" si="6"/>
        <v>0</v>
      </c>
      <c r="J15" s="1455">
        <f t="shared" si="6"/>
        <v>0</v>
      </c>
      <c r="K15" s="1455">
        <f t="shared" si="6"/>
        <v>0</v>
      </c>
      <c r="L15" s="1455">
        <f t="shared" si="6"/>
        <v>310000</v>
      </c>
      <c r="M15" s="1455">
        <f t="shared" si="6"/>
        <v>310000</v>
      </c>
      <c r="N15" s="1455">
        <f t="shared" si="6"/>
        <v>0</v>
      </c>
      <c r="O15" s="1455">
        <f t="shared" si="6"/>
        <v>310000</v>
      </c>
      <c r="P15" s="1455">
        <f t="shared" si="6"/>
        <v>0</v>
      </c>
      <c r="Q15" s="1455">
        <f t="shared" si="6"/>
        <v>0</v>
      </c>
      <c r="R15" s="1455">
        <f t="shared" si="6"/>
        <v>0</v>
      </c>
      <c r="S15" s="1455">
        <f t="shared" si="6"/>
        <v>0</v>
      </c>
      <c r="T15" s="1455">
        <f t="shared" si="6"/>
        <v>0</v>
      </c>
      <c r="U15" s="1455">
        <f t="shared" si="6"/>
        <v>0</v>
      </c>
      <c r="V15" s="1455">
        <f t="shared" si="6"/>
        <v>0</v>
      </c>
      <c r="W15" s="1455">
        <f t="shared" si="6"/>
        <v>0</v>
      </c>
      <c r="X15" s="1455">
        <f t="shared" si="6"/>
        <v>0</v>
      </c>
      <c r="Y15" s="1455">
        <f t="shared" si="6"/>
        <v>0</v>
      </c>
      <c r="Z15" s="1455">
        <f t="shared" si="6"/>
        <v>0</v>
      </c>
      <c r="AA15" s="1455">
        <f t="shared" si="6"/>
        <v>0</v>
      </c>
      <c r="AB15" s="1455">
        <f t="shared" si="6"/>
        <v>0</v>
      </c>
      <c r="AC15" s="1455">
        <f t="shared" si="6"/>
        <v>0</v>
      </c>
      <c r="AD15" s="1455">
        <f t="shared" si="6"/>
        <v>0</v>
      </c>
      <c r="AE15" s="1455">
        <f t="shared" si="6"/>
        <v>0</v>
      </c>
      <c r="AF15" s="1455">
        <f t="shared" si="6"/>
        <v>0</v>
      </c>
      <c r="AG15" s="1455">
        <f t="shared" si="6"/>
        <v>310000</v>
      </c>
      <c r="AH15" s="1455">
        <f t="shared" si="6"/>
        <v>0</v>
      </c>
      <c r="AI15" s="1455">
        <f t="shared" si="6"/>
        <v>0</v>
      </c>
      <c r="AJ15" s="1455">
        <f t="shared" si="6"/>
        <v>0</v>
      </c>
      <c r="AK15" s="1455">
        <f t="shared" si="6"/>
        <v>0</v>
      </c>
      <c r="AL15" s="1455">
        <f t="shared" si="6"/>
        <v>0</v>
      </c>
      <c r="AM15" s="1455">
        <f t="shared" si="6"/>
        <v>0</v>
      </c>
      <c r="AN15" s="1455">
        <f t="shared" si="6"/>
        <v>0</v>
      </c>
      <c r="AO15" s="1455">
        <f t="shared" si="6"/>
        <v>0</v>
      </c>
      <c r="AP15" s="1455">
        <f t="shared" si="6"/>
        <v>0</v>
      </c>
      <c r="AQ15" s="1455">
        <f t="shared" si="6"/>
        <v>310000</v>
      </c>
      <c r="AR15" s="1455">
        <f t="shared" si="6"/>
        <v>0</v>
      </c>
      <c r="AS15" s="1348"/>
      <c r="AT15" s="1349"/>
      <c r="AU15" s="1349"/>
      <c r="AV15" s="1349"/>
      <c r="AW15" s="1349"/>
      <c r="AX15" s="1349"/>
      <c r="AY15" s="1349"/>
      <c r="AZ15" s="1349"/>
      <c r="BA15" s="1349"/>
      <c r="BB15" s="1349"/>
      <c r="BC15" s="1349"/>
      <c r="BD15" s="1349"/>
      <c r="BE15" s="1349"/>
      <c r="BF15" s="1349"/>
      <c r="BG15" s="1349"/>
      <c r="BH15" s="1349"/>
      <c r="BI15" s="1349"/>
      <c r="BJ15" s="1349"/>
      <c r="BK15" s="1349"/>
      <c r="BL15" s="1349"/>
      <c r="BM15" s="1349"/>
      <c r="BN15" s="1349"/>
      <c r="BO15" s="1349"/>
      <c r="BP15" s="1349"/>
      <c r="BQ15" s="1349"/>
    </row>
    <row r="16" spans="1:69" s="1342" customFormat="1" ht="21.75" customHeight="1" x14ac:dyDescent="0.25">
      <c r="A16" s="1339" t="s">
        <v>25</v>
      </c>
      <c r="B16" s="1338" t="s">
        <v>750</v>
      </c>
      <c r="C16" s="1453"/>
      <c r="D16" s="1453"/>
      <c r="E16" s="1453"/>
      <c r="F16" s="1453"/>
      <c r="G16" s="1453"/>
      <c r="H16" s="1453"/>
      <c r="I16" s="1453"/>
      <c r="J16" s="1453"/>
      <c r="K16" s="1453"/>
      <c r="L16" s="1453">
        <f t="shared" ref="L16:L18" si="7">M16+P16</f>
        <v>300000</v>
      </c>
      <c r="M16" s="1453">
        <f>N16+O16</f>
        <v>300000</v>
      </c>
      <c r="N16" s="1453"/>
      <c r="O16" s="1453">
        <v>300000</v>
      </c>
      <c r="P16" s="1453"/>
      <c r="Q16" s="1453"/>
      <c r="R16" s="1453"/>
      <c r="S16" s="1453">
        <f>SUM(T16:AC16)</f>
        <v>0</v>
      </c>
      <c r="T16" s="1453"/>
      <c r="U16" s="1453"/>
      <c r="V16" s="1453"/>
      <c r="W16" s="1453"/>
      <c r="X16" s="1453"/>
      <c r="Y16" s="1453"/>
      <c r="Z16" s="1453"/>
      <c r="AA16" s="1453"/>
      <c r="AB16" s="1453"/>
      <c r="AC16" s="1453"/>
      <c r="AD16" s="1453"/>
      <c r="AE16" s="1453"/>
      <c r="AF16" s="1453"/>
      <c r="AG16" s="1453">
        <f>SUM(AH16:AQ16)</f>
        <v>300000</v>
      </c>
      <c r="AH16" s="1453"/>
      <c r="AI16" s="1453"/>
      <c r="AJ16" s="1453"/>
      <c r="AK16" s="1453"/>
      <c r="AL16" s="1453"/>
      <c r="AM16" s="1453"/>
      <c r="AN16" s="1453"/>
      <c r="AO16" s="1453"/>
      <c r="AP16" s="1453"/>
      <c r="AQ16" s="1453">
        <f>O16+R16-AC16</f>
        <v>300000</v>
      </c>
      <c r="AR16" s="1453"/>
      <c r="AS16" s="1340"/>
      <c r="AT16" s="1341"/>
      <c r="AU16" s="1341"/>
      <c r="AV16" s="1341"/>
      <c r="AW16" s="1341"/>
      <c r="AX16" s="1341"/>
      <c r="AY16" s="1341"/>
      <c r="AZ16" s="1341"/>
      <c r="BA16" s="1341"/>
      <c r="BB16" s="1341"/>
      <c r="BC16" s="1341"/>
      <c r="BD16" s="1341"/>
      <c r="BE16" s="1341"/>
      <c r="BF16" s="1341"/>
      <c r="BG16" s="1341"/>
      <c r="BH16" s="1341"/>
      <c r="BI16" s="1341"/>
      <c r="BJ16" s="1341"/>
      <c r="BK16" s="1341"/>
      <c r="BL16" s="1341"/>
      <c r="BM16" s="1341"/>
      <c r="BN16" s="1341"/>
      <c r="BO16" s="1341"/>
      <c r="BP16" s="1341"/>
      <c r="BQ16" s="1341"/>
    </row>
    <row r="17" spans="1:69" s="1342" customFormat="1" ht="21.75" customHeight="1" x14ac:dyDescent="0.25">
      <c r="A17" s="1339" t="s">
        <v>25</v>
      </c>
      <c r="B17" s="1338" t="s">
        <v>751</v>
      </c>
      <c r="C17" s="1453"/>
      <c r="D17" s="1453"/>
      <c r="E17" s="1453"/>
      <c r="F17" s="1453"/>
      <c r="G17" s="1453"/>
      <c r="H17" s="1453"/>
      <c r="I17" s="1453"/>
      <c r="J17" s="1453"/>
      <c r="K17" s="1453"/>
      <c r="L17" s="1453">
        <f t="shared" si="7"/>
        <v>10000</v>
      </c>
      <c r="M17" s="1453">
        <f t="shared" ref="M17:M18" si="8">N17+O17</f>
        <v>10000</v>
      </c>
      <c r="N17" s="1453"/>
      <c r="O17" s="1453">
        <v>10000</v>
      </c>
      <c r="P17" s="1453"/>
      <c r="Q17" s="1453"/>
      <c r="R17" s="1453"/>
      <c r="S17" s="1453">
        <f t="shared" ref="S17:S18" si="9">SUM(T17:AC17)</f>
        <v>0</v>
      </c>
      <c r="T17" s="1453"/>
      <c r="U17" s="1453"/>
      <c r="V17" s="1453"/>
      <c r="W17" s="1453"/>
      <c r="X17" s="1453"/>
      <c r="Y17" s="1453"/>
      <c r="Z17" s="1453"/>
      <c r="AA17" s="1453"/>
      <c r="AB17" s="1453"/>
      <c r="AC17" s="1453"/>
      <c r="AD17" s="1453"/>
      <c r="AE17" s="1453"/>
      <c r="AF17" s="1453"/>
      <c r="AG17" s="1453">
        <f t="shared" ref="AG17:AG18" si="10">SUM(AH17:AQ17)</f>
        <v>10000</v>
      </c>
      <c r="AH17" s="1453"/>
      <c r="AI17" s="1453"/>
      <c r="AJ17" s="1453"/>
      <c r="AK17" s="1453"/>
      <c r="AL17" s="1453"/>
      <c r="AM17" s="1453"/>
      <c r="AN17" s="1453"/>
      <c r="AO17" s="1453"/>
      <c r="AP17" s="1453"/>
      <c r="AQ17" s="1453">
        <f t="shared" ref="AQ17:AQ18" si="11">O17+R17-AC17</f>
        <v>10000</v>
      </c>
      <c r="AR17" s="1453"/>
      <c r="AS17" s="1340"/>
      <c r="AT17" s="1341"/>
      <c r="AU17" s="1341"/>
      <c r="AV17" s="1341"/>
      <c r="AW17" s="1341"/>
      <c r="AX17" s="1341"/>
      <c r="AY17" s="1341"/>
      <c r="AZ17" s="1341"/>
      <c r="BA17" s="1341"/>
      <c r="BB17" s="1341"/>
      <c r="BC17" s="1341"/>
      <c r="BD17" s="1341"/>
      <c r="BE17" s="1341"/>
      <c r="BF17" s="1341"/>
      <c r="BG17" s="1341"/>
      <c r="BH17" s="1341"/>
      <c r="BI17" s="1341"/>
      <c r="BJ17" s="1341"/>
      <c r="BK17" s="1341"/>
      <c r="BL17" s="1341"/>
      <c r="BM17" s="1341"/>
      <c r="BN17" s="1341"/>
      <c r="BO17" s="1341"/>
      <c r="BP17" s="1341"/>
      <c r="BQ17" s="1341"/>
    </row>
    <row r="18" spans="1:69" s="1342" customFormat="1" x14ac:dyDescent="0.25">
      <c r="A18" s="1339" t="s">
        <v>25</v>
      </c>
      <c r="B18" s="1338" t="s">
        <v>264</v>
      </c>
      <c r="C18" s="1453"/>
      <c r="D18" s="1453"/>
      <c r="E18" s="1453"/>
      <c r="F18" s="1453"/>
      <c r="G18" s="1453"/>
      <c r="H18" s="1453"/>
      <c r="I18" s="1453"/>
      <c r="J18" s="1453"/>
      <c r="K18" s="1453"/>
      <c r="L18" s="1453">
        <f t="shared" si="7"/>
        <v>0</v>
      </c>
      <c r="M18" s="1453">
        <f t="shared" si="8"/>
        <v>0</v>
      </c>
      <c r="N18" s="1453"/>
      <c r="O18" s="1453"/>
      <c r="P18" s="1453"/>
      <c r="Q18" s="1453"/>
      <c r="R18" s="1453"/>
      <c r="S18" s="1453">
        <f t="shared" si="9"/>
        <v>0</v>
      </c>
      <c r="T18" s="1453"/>
      <c r="U18" s="1453"/>
      <c r="V18" s="1453"/>
      <c r="W18" s="1453"/>
      <c r="X18" s="1453"/>
      <c r="Y18" s="1453"/>
      <c r="Z18" s="1453"/>
      <c r="AA18" s="1453"/>
      <c r="AB18" s="1453"/>
      <c r="AC18" s="1453"/>
      <c r="AD18" s="1453"/>
      <c r="AE18" s="1453"/>
      <c r="AF18" s="1453"/>
      <c r="AG18" s="1453">
        <f t="shared" si="10"/>
        <v>0</v>
      </c>
      <c r="AH18" s="1453"/>
      <c r="AI18" s="1453"/>
      <c r="AJ18" s="1453"/>
      <c r="AK18" s="1453"/>
      <c r="AL18" s="1453"/>
      <c r="AM18" s="1453"/>
      <c r="AN18" s="1453"/>
      <c r="AO18" s="1453"/>
      <c r="AP18" s="1453"/>
      <c r="AQ18" s="1453">
        <f t="shared" si="11"/>
        <v>0</v>
      </c>
      <c r="AR18" s="1453"/>
      <c r="AS18" s="1340"/>
      <c r="AT18" s="1341"/>
      <c r="AU18" s="1341"/>
      <c r="AV18" s="1341"/>
      <c r="AW18" s="1341"/>
      <c r="AX18" s="1341"/>
      <c r="AY18" s="1341"/>
      <c r="AZ18" s="1341"/>
      <c r="BA18" s="1341"/>
      <c r="BB18" s="1341"/>
      <c r="BC18" s="1341"/>
      <c r="BD18" s="1341"/>
      <c r="BE18" s="1341"/>
      <c r="BF18" s="1341"/>
      <c r="BG18" s="1341"/>
      <c r="BH18" s="1341"/>
      <c r="BI18" s="1341"/>
      <c r="BJ18" s="1341"/>
      <c r="BK18" s="1341"/>
      <c r="BL18" s="1341"/>
      <c r="BM18" s="1341"/>
      <c r="BN18" s="1341"/>
      <c r="BO18" s="1341"/>
      <c r="BP18" s="1341"/>
      <c r="BQ18" s="1341"/>
    </row>
    <row r="19" spans="1:69" s="1350" customFormat="1" ht="31.5" x14ac:dyDescent="0.25">
      <c r="A19" s="1351">
        <v>2</v>
      </c>
      <c r="B19" s="1352" t="s">
        <v>808</v>
      </c>
      <c r="C19" s="1455">
        <f>SUM(C20:C22)</f>
        <v>0</v>
      </c>
      <c r="D19" s="1455">
        <f t="shared" ref="D19" si="12">SUM(D20:D22)</f>
        <v>0</v>
      </c>
      <c r="E19" s="1455">
        <f t="shared" ref="E19" si="13">SUM(E20:E22)</f>
        <v>0</v>
      </c>
      <c r="F19" s="1455">
        <f t="shared" ref="F19" si="14">SUM(F20:F22)</f>
        <v>0</v>
      </c>
      <c r="G19" s="1455">
        <f t="shared" ref="G19" si="15">SUM(G20:G22)</f>
        <v>0</v>
      </c>
      <c r="H19" s="1455">
        <f t="shared" ref="H19" si="16">SUM(H20:H22)</f>
        <v>0</v>
      </c>
      <c r="I19" s="1455">
        <f t="shared" ref="I19" si="17">SUM(I20:I22)</f>
        <v>0</v>
      </c>
      <c r="J19" s="1455">
        <f t="shared" ref="J19" si="18">SUM(J20:J22)</f>
        <v>0</v>
      </c>
      <c r="K19" s="1455">
        <f t="shared" ref="K19" si="19">SUM(K20:K22)</f>
        <v>0</v>
      </c>
      <c r="L19" s="1455">
        <f t="shared" ref="L19" si="20">SUM(L20:L22)</f>
        <v>15000</v>
      </c>
      <c r="M19" s="1455">
        <f t="shared" ref="M19" si="21">SUM(M20:M22)</f>
        <v>15000</v>
      </c>
      <c r="N19" s="1455">
        <f t="shared" ref="N19" si="22">SUM(N20:N22)</f>
        <v>0</v>
      </c>
      <c r="O19" s="1455">
        <f t="shared" ref="O19" si="23">SUM(O20:O22)</f>
        <v>15000</v>
      </c>
      <c r="P19" s="1455">
        <f t="shared" ref="P19" si="24">SUM(P20:P22)</f>
        <v>0</v>
      </c>
      <c r="Q19" s="1455">
        <f t="shared" ref="Q19" si="25">SUM(Q20:Q22)</f>
        <v>0</v>
      </c>
      <c r="R19" s="1455">
        <f t="shared" ref="R19" si="26">SUM(R20:R22)</f>
        <v>0</v>
      </c>
      <c r="S19" s="1455">
        <f t="shared" ref="S19" si="27">SUM(S20:S22)</f>
        <v>14998.888000000001</v>
      </c>
      <c r="T19" s="1455">
        <f t="shared" ref="T19" si="28">SUM(T20:T22)</f>
        <v>0</v>
      </c>
      <c r="U19" s="1455">
        <f t="shared" ref="U19" si="29">SUM(U20:U22)</f>
        <v>0</v>
      </c>
      <c r="V19" s="1455">
        <f t="shared" ref="V19" si="30">SUM(V20:V22)</f>
        <v>0</v>
      </c>
      <c r="W19" s="1455">
        <f t="shared" ref="W19" si="31">SUM(W20:W22)</f>
        <v>0</v>
      </c>
      <c r="X19" s="1455">
        <f t="shared" ref="X19" si="32">SUM(X20:X22)</f>
        <v>0</v>
      </c>
      <c r="Y19" s="1455">
        <f t="shared" ref="Y19" si="33">SUM(Y20:Y22)</f>
        <v>0</v>
      </c>
      <c r="Z19" s="1455">
        <f t="shared" ref="Z19" si="34">SUM(Z20:Z22)</f>
        <v>0</v>
      </c>
      <c r="AA19" s="1455">
        <f t="shared" ref="AA19" si="35">SUM(AA20:AA22)</f>
        <v>0</v>
      </c>
      <c r="AB19" s="1455">
        <f t="shared" ref="AB19" si="36">SUM(AB20:AB22)</f>
        <v>0</v>
      </c>
      <c r="AC19" s="1455">
        <f t="shared" ref="AC19" si="37">SUM(AC20:AC22)</f>
        <v>14998.888000000001</v>
      </c>
      <c r="AD19" s="1455">
        <f t="shared" ref="AD19" si="38">SUM(AD20:AD22)</f>
        <v>0</v>
      </c>
      <c r="AE19" s="1455">
        <f t="shared" ref="AE19" si="39">SUM(AE20:AE22)</f>
        <v>0</v>
      </c>
      <c r="AF19" s="1455">
        <f t="shared" ref="AF19" si="40">SUM(AF20:AF22)</f>
        <v>0</v>
      </c>
      <c r="AG19" s="1455">
        <f t="shared" ref="AG19" si="41">SUM(AG20:AG22)</f>
        <v>1.1119999999991705</v>
      </c>
      <c r="AH19" s="1455">
        <f t="shared" ref="AH19" si="42">SUM(AH20:AH22)</f>
        <v>0</v>
      </c>
      <c r="AI19" s="1455">
        <f t="shared" ref="AI19" si="43">SUM(AI20:AI22)</f>
        <v>0</v>
      </c>
      <c r="AJ19" s="1455">
        <f t="shared" ref="AJ19" si="44">SUM(AJ20:AJ22)</f>
        <v>0</v>
      </c>
      <c r="AK19" s="1455">
        <f t="shared" ref="AK19" si="45">SUM(AK20:AK22)</f>
        <v>0</v>
      </c>
      <c r="AL19" s="1455">
        <f t="shared" ref="AL19" si="46">SUM(AL20:AL22)</f>
        <v>0</v>
      </c>
      <c r="AM19" s="1455">
        <f t="shared" ref="AM19" si="47">SUM(AM20:AM22)</f>
        <v>0</v>
      </c>
      <c r="AN19" s="1455">
        <f t="shared" ref="AN19" si="48">SUM(AN20:AN22)</f>
        <v>0</v>
      </c>
      <c r="AO19" s="1455">
        <f t="shared" ref="AO19" si="49">SUM(AO20:AO22)</f>
        <v>0</v>
      </c>
      <c r="AP19" s="1455">
        <f t="shared" ref="AP19" si="50">SUM(AP20:AP22)</f>
        <v>0</v>
      </c>
      <c r="AQ19" s="1455">
        <f t="shared" ref="AQ19" si="51">SUM(AQ20:AQ22)</f>
        <v>1.1119999999991705</v>
      </c>
      <c r="AR19" s="1455">
        <f t="shared" ref="AR19" si="52">SUM(AR20:AR22)</f>
        <v>0</v>
      </c>
      <c r="AS19" s="1348"/>
      <c r="AT19" s="1349"/>
      <c r="AU19" s="1349"/>
      <c r="AV19" s="1349"/>
      <c r="AW19" s="1349"/>
      <c r="AX19" s="1349"/>
      <c r="AY19" s="1349"/>
      <c r="AZ19" s="1349"/>
      <c r="BA19" s="1349"/>
      <c r="BB19" s="1349"/>
      <c r="BC19" s="1349"/>
      <c r="BD19" s="1349"/>
      <c r="BE19" s="1349"/>
      <c r="BF19" s="1349"/>
      <c r="BG19" s="1349"/>
      <c r="BH19" s="1349"/>
      <c r="BI19" s="1349"/>
      <c r="BJ19" s="1349"/>
      <c r="BK19" s="1349"/>
      <c r="BL19" s="1349"/>
      <c r="BM19" s="1349"/>
      <c r="BN19" s="1349"/>
      <c r="BO19" s="1349"/>
      <c r="BP19" s="1349"/>
      <c r="BQ19" s="1349"/>
    </row>
    <row r="20" spans="1:69" s="1342" customFormat="1" ht="21.75" customHeight="1" x14ac:dyDescent="0.25">
      <c r="A20" s="1339" t="s">
        <v>25</v>
      </c>
      <c r="B20" s="1338" t="s">
        <v>750</v>
      </c>
      <c r="C20" s="1453"/>
      <c r="D20" s="1453"/>
      <c r="E20" s="1453"/>
      <c r="F20" s="1453"/>
      <c r="G20" s="1453"/>
      <c r="H20" s="1453"/>
      <c r="I20" s="1453"/>
      <c r="J20" s="1453"/>
      <c r="K20" s="1453"/>
      <c r="L20" s="1453">
        <f t="shared" ref="L20:L22" si="53">M20+P20</f>
        <v>15000</v>
      </c>
      <c r="M20" s="1453">
        <f>N20+O20</f>
        <v>15000</v>
      </c>
      <c r="N20" s="1453"/>
      <c r="O20" s="1453">
        <v>15000</v>
      </c>
      <c r="P20" s="1453"/>
      <c r="Q20" s="1453"/>
      <c r="R20" s="1453"/>
      <c r="S20" s="1453">
        <f>SUM(T20:AC20)</f>
        <v>14998.888000000001</v>
      </c>
      <c r="T20" s="1453"/>
      <c r="U20" s="1453"/>
      <c r="V20" s="1453"/>
      <c r="W20" s="1453"/>
      <c r="X20" s="1453"/>
      <c r="Y20" s="1453"/>
      <c r="Z20" s="1453"/>
      <c r="AA20" s="1453"/>
      <c r="AB20" s="1453"/>
      <c r="AC20" s="1453">
        <v>14998.888000000001</v>
      </c>
      <c r="AD20" s="1453"/>
      <c r="AE20" s="1453"/>
      <c r="AF20" s="1453"/>
      <c r="AG20" s="1453">
        <f>SUM(AH20:AQ20)</f>
        <v>1.1119999999991705</v>
      </c>
      <c r="AH20" s="1453"/>
      <c r="AI20" s="1453"/>
      <c r="AJ20" s="1453"/>
      <c r="AK20" s="1453"/>
      <c r="AL20" s="1453"/>
      <c r="AM20" s="1453"/>
      <c r="AN20" s="1453"/>
      <c r="AO20" s="1453"/>
      <c r="AP20" s="1453"/>
      <c r="AQ20" s="1453">
        <f>O20+R20-AC20</f>
        <v>1.1119999999991705</v>
      </c>
      <c r="AR20" s="1453"/>
      <c r="AS20" s="1340"/>
      <c r="AT20" s="1341"/>
      <c r="AU20" s="1341"/>
      <c r="AV20" s="1341"/>
      <c r="AW20" s="1341"/>
      <c r="AX20" s="1341"/>
      <c r="AY20" s="1341"/>
      <c r="AZ20" s="1341"/>
      <c r="BA20" s="1341"/>
      <c r="BB20" s="1341"/>
      <c r="BC20" s="1341"/>
      <c r="BD20" s="1341"/>
      <c r="BE20" s="1341"/>
      <c r="BF20" s="1341"/>
      <c r="BG20" s="1341"/>
      <c r="BH20" s="1341"/>
      <c r="BI20" s="1341"/>
      <c r="BJ20" s="1341"/>
      <c r="BK20" s="1341"/>
      <c r="BL20" s="1341"/>
      <c r="BM20" s="1341"/>
      <c r="BN20" s="1341"/>
      <c r="BO20" s="1341"/>
      <c r="BP20" s="1341"/>
      <c r="BQ20" s="1341"/>
    </row>
    <row r="21" spans="1:69" s="1342" customFormat="1" ht="21.75" customHeight="1" x14ac:dyDescent="0.25">
      <c r="A21" s="1339" t="s">
        <v>25</v>
      </c>
      <c r="B21" s="1338" t="s">
        <v>751</v>
      </c>
      <c r="C21" s="1453"/>
      <c r="D21" s="1453"/>
      <c r="E21" s="1453"/>
      <c r="F21" s="1453"/>
      <c r="G21" s="1453"/>
      <c r="H21" s="1453"/>
      <c r="I21" s="1453"/>
      <c r="J21" s="1453"/>
      <c r="K21" s="1453"/>
      <c r="L21" s="1453">
        <f t="shared" si="53"/>
        <v>0</v>
      </c>
      <c r="M21" s="1453">
        <f t="shared" ref="M21:M22" si="54">N21+O21</f>
        <v>0</v>
      </c>
      <c r="N21" s="1453"/>
      <c r="O21" s="1453"/>
      <c r="P21" s="1453"/>
      <c r="Q21" s="1453"/>
      <c r="R21" s="1453"/>
      <c r="S21" s="1453">
        <f t="shared" ref="S21:S22" si="55">SUM(T21:AC21)</f>
        <v>0</v>
      </c>
      <c r="T21" s="1453"/>
      <c r="U21" s="1453"/>
      <c r="V21" s="1453"/>
      <c r="W21" s="1453"/>
      <c r="X21" s="1453"/>
      <c r="Y21" s="1453"/>
      <c r="Z21" s="1453"/>
      <c r="AA21" s="1453"/>
      <c r="AB21" s="1453"/>
      <c r="AC21" s="1453"/>
      <c r="AD21" s="1453"/>
      <c r="AE21" s="1453"/>
      <c r="AF21" s="1453"/>
      <c r="AG21" s="1453">
        <f t="shared" ref="AG21:AG22" si="56">SUM(AH21:AQ21)</f>
        <v>0</v>
      </c>
      <c r="AH21" s="1453"/>
      <c r="AI21" s="1453"/>
      <c r="AJ21" s="1453"/>
      <c r="AK21" s="1453"/>
      <c r="AL21" s="1453"/>
      <c r="AM21" s="1453"/>
      <c r="AN21" s="1453"/>
      <c r="AO21" s="1453"/>
      <c r="AP21" s="1453"/>
      <c r="AQ21" s="1453">
        <f t="shared" ref="AQ21:AQ22" si="57">O21+R21-AC21</f>
        <v>0</v>
      </c>
      <c r="AR21" s="1453"/>
      <c r="AS21" s="1340"/>
      <c r="AT21" s="1341"/>
      <c r="AU21" s="1341"/>
      <c r="AV21" s="1341"/>
      <c r="AW21" s="1341"/>
      <c r="AX21" s="1341"/>
      <c r="AY21" s="1341"/>
      <c r="AZ21" s="1341"/>
      <c r="BA21" s="1341"/>
      <c r="BB21" s="1341"/>
      <c r="BC21" s="1341"/>
      <c r="BD21" s="1341"/>
      <c r="BE21" s="1341"/>
      <c r="BF21" s="1341"/>
      <c r="BG21" s="1341"/>
      <c r="BH21" s="1341"/>
      <c r="BI21" s="1341"/>
      <c r="BJ21" s="1341"/>
      <c r="BK21" s="1341"/>
      <c r="BL21" s="1341"/>
      <c r="BM21" s="1341"/>
      <c r="BN21" s="1341"/>
      <c r="BO21" s="1341"/>
      <c r="BP21" s="1341"/>
      <c r="BQ21" s="1341"/>
    </row>
    <row r="22" spans="1:69" s="1342" customFormat="1" x14ac:dyDescent="0.25">
      <c r="A22" s="1339" t="s">
        <v>25</v>
      </c>
      <c r="B22" s="1338" t="s">
        <v>264</v>
      </c>
      <c r="C22" s="1453"/>
      <c r="D22" s="1453"/>
      <c r="E22" s="1453"/>
      <c r="F22" s="1453"/>
      <c r="G22" s="1453"/>
      <c r="H22" s="1453"/>
      <c r="I22" s="1453"/>
      <c r="J22" s="1453"/>
      <c r="K22" s="1453"/>
      <c r="L22" s="1453">
        <f t="shared" si="53"/>
        <v>0</v>
      </c>
      <c r="M22" s="1453">
        <f t="shared" si="54"/>
        <v>0</v>
      </c>
      <c r="N22" s="1453"/>
      <c r="O22" s="1453"/>
      <c r="P22" s="1453"/>
      <c r="Q22" s="1453"/>
      <c r="R22" s="1453"/>
      <c r="S22" s="1453">
        <f t="shared" si="55"/>
        <v>0</v>
      </c>
      <c r="T22" s="1453"/>
      <c r="U22" s="1453"/>
      <c r="V22" s="1453"/>
      <c r="W22" s="1453"/>
      <c r="X22" s="1453"/>
      <c r="Y22" s="1453"/>
      <c r="Z22" s="1453"/>
      <c r="AA22" s="1453"/>
      <c r="AB22" s="1453"/>
      <c r="AC22" s="1453"/>
      <c r="AD22" s="1453"/>
      <c r="AE22" s="1453"/>
      <c r="AF22" s="1453"/>
      <c r="AG22" s="1453">
        <f t="shared" si="56"/>
        <v>0</v>
      </c>
      <c r="AH22" s="1453"/>
      <c r="AI22" s="1453"/>
      <c r="AJ22" s="1453"/>
      <c r="AK22" s="1453"/>
      <c r="AL22" s="1453"/>
      <c r="AM22" s="1453"/>
      <c r="AN22" s="1453"/>
      <c r="AO22" s="1453"/>
      <c r="AP22" s="1453"/>
      <c r="AQ22" s="1453">
        <f t="shared" si="57"/>
        <v>0</v>
      </c>
      <c r="AR22" s="1453"/>
      <c r="AS22" s="1340"/>
      <c r="AT22" s="1341"/>
      <c r="AU22" s="1341"/>
      <c r="AV22" s="1341"/>
      <c r="AW22" s="1341"/>
      <c r="AX22" s="1341"/>
      <c r="AY22" s="1341"/>
      <c r="AZ22" s="1341"/>
      <c r="BA22" s="1341"/>
      <c r="BB22" s="1341"/>
      <c r="BC22" s="1341"/>
      <c r="BD22" s="1341"/>
      <c r="BE22" s="1341"/>
      <c r="BF22" s="1341"/>
      <c r="BG22" s="1341"/>
      <c r="BH22" s="1341"/>
      <c r="BI22" s="1341"/>
      <c r="BJ22" s="1341"/>
      <c r="BK22" s="1341"/>
      <c r="BL22" s="1341"/>
      <c r="BM22" s="1341"/>
      <c r="BN22" s="1341"/>
      <c r="BO22" s="1341"/>
      <c r="BP22" s="1341"/>
      <c r="BQ22" s="1341"/>
    </row>
    <row r="23" spans="1:69" s="1350" customFormat="1" ht="31.5" x14ac:dyDescent="0.25">
      <c r="A23" s="1351">
        <v>3</v>
      </c>
      <c r="B23" s="1352" t="s">
        <v>809</v>
      </c>
      <c r="C23" s="1455">
        <f>SUM(C24:C26)</f>
        <v>0</v>
      </c>
      <c r="D23" s="1455">
        <f t="shared" ref="D23" si="58">SUM(D24:D26)</f>
        <v>0</v>
      </c>
      <c r="E23" s="1455">
        <f t="shared" ref="E23" si="59">SUM(E24:E26)</f>
        <v>0</v>
      </c>
      <c r="F23" s="1455">
        <f t="shared" ref="F23" si="60">SUM(F24:F26)</f>
        <v>0</v>
      </c>
      <c r="G23" s="1455">
        <f t="shared" ref="G23" si="61">SUM(G24:G26)</f>
        <v>0</v>
      </c>
      <c r="H23" s="1455">
        <f t="shared" ref="H23" si="62">SUM(H24:H26)</f>
        <v>0</v>
      </c>
      <c r="I23" s="1455">
        <f t="shared" ref="I23" si="63">SUM(I24:I26)</f>
        <v>0</v>
      </c>
      <c r="J23" s="1455">
        <f t="shared" ref="J23" si="64">SUM(J24:J26)</f>
        <v>0</v>
      </c>
      <c r="K23" s="1455">
        <f t="shared" ref="K23" si="65">SUM(K24:K26)</f>
        <v>0</v>
      </c>
      <c r="L23" s="1455">
        <f t="shared" ref="L23" si="66">SUM(L24:L26)</f>
        <v>41000</v>
      </c>
      <c r="M23" s="1455">
        <f t="shared" ref="M23" si="67">SUM(M24:M26)</f>
        <v>41000</v>
      </c>
      <c r="N23" s="1455">
        <f t="shared" ref="N23" si="68">SUM(N24:N26)</f>
        <v>0</v>
      </c>
      <c r="O23" s="1455">
        <f t="shared" ref="O23" si="69">SUM(O24:O26)</f>
        <v>41000</v>
      </c>
      <c r="P23" s="1455">
        <f t="shared" ref="P23" si="70">SUM(P24:P26)</f>
        <v>0</v>
      </c>
      <c r="Q23" s="1455">
        <f t="shared" ref="Q23" si="71">SUM(Q24:Q26)</f>
        <v>0</v>
      </c>
      <c r="R23" s="1455">
        <f t="shared" ref="R23" si="72">SUM(R24:R26)</f>
        <v>0</v>
      </c>
      <c r="S23" s="1455">
        <f t="shared" ref="S23" si="73">SUM(S24:S26)</f>
        <v>41000</v>
      </c>
      <c r="T23" s="1455">
        <f t="shared" ref="T23" si="74">SUM(T24:T26)</f>
        <v>0</v>
      </c>
      <c r="U23" s="1455">
        <f t="shared" ref="U23" si="75">SUM(U24:U26)</f>
        <v>0</v>
      </c>
      <c r="V23" s="1455">
        <f t="shared" ref="V23" si="76">SUM(V24:V26)</f>
        <v>0</v>
      </c>
      <c r="W23" s="1455">
        <f t="shared" ref="W23" si="77">SUM(W24:W26)</f>
        <v>0</v>
      </c>
      <c r="X23" s="1455">
        <f t="shared" ref="X23" si="78">SUM(X24:X26)</f>
        <v>0</v>
      </c>
      <c r="Y23" s="1455">
        <f t="shared" ref="Y23" si="79">SUM(Y24:Y26)</f>
        <v>0</v>
      </c>
      <c r="Z23" s="1455">
        <f t="shared" ref="Z23" si="80">SUM(Z24:Z26)</f>
        <v>0</v>
      </c>
      <c r="AA23" s="1455">
        <f t="shared" ref="AA23" si="81">SUM(AA24:AA26)</f>
        <v>0</v>
      </c>
      <c r="AB23" s="1455">
        <f t="shared" ref="AB23" si="82">SUM(AB24:AB26)</f>
        <v>0</v>
      </c>
      <c r="AC23" s="1455">
        <f t="shared" ref="AC23" si="83">SUM(AC24:AC26)</f>
        <v>41000</v>
      </c>
      <c r="AD23" s="1455">
        <f t="shared" ref="AD23" si="84">SUM(AD24:AD26)</f>
        <v>0</v>
      </c>
      <c r="AE23" s="1455">
        <f t="shared" ref="AE23" si="85">SUM(AE24:AE26)</f>
        <v>0</v>
      </c>
      <c r="AF23" s="1455">
        <f t="shared" ref="AF23" si="86">SUM(AF24:AF26)</f>
        <v>0</v>
      </c>
      <c r="AG23" s="1455">
        <f t="shared" ref="AG23" si="87">SUM(AG24:AG26)</f>
        <v>0</v>
      </c>
      <c r="AH23" s="1455">
        <f t="shared" ref="AH23" si="88">SUM(AH24:AH26)</f>
        <v>0</v>
      </c>
      <c r="AI23" s="1455">
        <f t="shared" ref="AI23" si="89">SUM(AI24:AI26)</f>
        <v>0</v>
      </c>
      <c r="AJ23" s="1455">
        <f t="shared" ref="AJ23" si="90">SUM(AJ24:AJ26)</f>
        <v>0</v>
      </c>
      <c r="AK23" s="1455">
        <f t="shared" ref="AK23" si="91">SUM(AK24:AK26)</f>
        <v>0</v>
      </c>
      <c r="AL23" s="1455">
        <f t="shared" ref="AL23" si="92">SUM(AL24:AL26)</f>
        <v>0</v>
      </c>
      <c r="AM23" s="1455">
        <f t="shared" ref="AM23" si="93">SUM(AM24:AM26)</f>
        <v>0</v>
      </c>
      <c r="AN23" s="1455">
        <f t="shared" ref="AN23" si="94">SUM(AN24:AN26)</f>
        <v>0</v>
      </c>
      <c r="AO23" s="1455">
        <f t="shared" ref="AO23" si="95">SUM(AO24:AO26)</f>
        <v>0</v>
      </c>
      <c r="AP23" s="1455">
        <f t="shared" ref="AP23" si="96">SUM(AP24:AP26)</f>
        <v>0</v>
      </c>
      <c r="AQ23" s="1455">
        <f t="shared" ref="AQ23" si="97">SUM(AQ24:AQ26)</f>
        <v>0</v>
      </c>
      <c r="AR23" s="1455">
        <f t="shared" ref="AR23" si="98">SUM(AR24:AR26)</f>
        <v>0</v>
      </c>
      <c r="AS23" s="1348"/>
      <c r="AT23" s="1349"/>
      <c r="AU23" s="1349"/>
      <c r="AV23" s="1349"/>
      <c r="AW23" s="1349"/>
      <c r="AX23" s="1349"/>
      <c r="AY23" s="1349"/>
      <c r="AZ23" s="1349"/>
      <c r="BA23" s="1349"/>
      <c r="BB23" s="1349"/>
      <c r="BC23" s="1349"/>
      <c r="BD23" s="1349"/>
      <c r="BE23" s="1349"/>
      <c r="BF23" s="1349"/>
      <c r="BG23" s="1349"/>
      <c r="BH23" s="1349"/>
      <c r="BI23" s="1349"/>
      <c r="BJ23" s="1349"/>
      <c r="BK23" s="1349"/>
      <c r="BL23" s="1349"/>
      <c r="BM23" s="1349"/>
      <c r="BN23" s="1349"/>
      <c r="BO23" s="1349"/>
      <c r="BP23" s="1349"/>
      <c r="BQ23" s="1349"/>
    </row>
    <row r="24" spans="1:69" s="1342" customFormat="1" ht="21.75" customHeight="1" x14ac:dyDescent="0.25">
      <c r="A24" s="1339" t="s">
        <v>25</v>
      </c>
      <c r="B24" s="1338" t="s">
        <v>750</v>
      </c>
      <c r="C24" s="1453"/>
      <c r="D24" s="1453"/>
      <c r="E24" s="1453"/>
      <c r="F24" s="1453"/>
      <c r="G24" s="1453"/>
      <c r="H24" s="1453"/>
      <c r="I24" s="1453"/>
      <c r="J24" s="1453"/>
      <c r="K24" s="1453"/>
      <c r="L24" s="1453">
        <f t="shared" ref="L24:L26" si="99">M24+P24</f>
        <v>40000</v>
      </c>
      <c r="M24" s="1453">
        <f>N24+O24</f>
        <v>40000</v>
      </c>
      <c r="N24" s="1453"/>
      <c r="O24" s="1453">
        <v>40000</v>
      </c>
      <c r="P24" s="1453"/>
      <c r="Q24" s="1453"/>
      <c r="R24" s="1453"/>
      <c r="S24" s="1453">
        <f>SUM(T24:AC24)</f>
        <v>40000</v>
      </c>
      <c r="T24" s="1453"/>
      <c r="U24" s="1453"/>
      <c r="V24" s="1453"/>
      <c r="W24" s="1453"/>
      <c r="X24" s="1453"/>
      <c r="Y24" s="1453"/>
      <c r="Z24" s="1453"/>
      <c r="AA24" s="1453"/>
      <c r="AB24" s="1453"/>
      <c r="AC24" s="1453">
        <v>40000</v>
      </c>
      <c r="AD24" s="1453"/>
      <c r="AE24" s="1453"/>
      <c r="AF24" s="1453"/>
      <c r="AG24" s="1453">
        <f>SUM(AH24:AQ24)</f>
        <v>0</v>
      </c>
      <c r="AH24" s="1453"/>
      <c r="AI24" s="1453"/>
      <c r="AJ24" s="1453"/>
      <c r="AK24" s="1453"/>
      <c r="AL24" s="1453"/>
      <c r="AM24" s="1453"/>
      <c r="AN24" s="1453"/>
      <c r="AO24" s="1453"/>
      <c r="AP24" s="1453"/>
      <c r="AQ24" s="1453">
        <f>O24+R24-AC24</f>
        <v>0</v>
      </c>
      <c r="AR24" s="1453"/>
      <c r="AS24" s="1340"/>
      <c r="AT24" s="1341"/>
      <c r="AU24" s="1341"/>
      <c r="AV24" s="1341"/>
      <c r="AW24" s="1341"/>
      <c r="AX24" s="1341"/>
      <c r="AY24" s="1341"/>
      <c r="AZ24" s="1341"/>
      <c r="BA24" s="1341"/>
      <c r="BB24" s="1341"/>
      <c r="BC24" s="1341"/>
      <c r="BD24" s="1341"/>
      <c r="BE24" s="1341"/>
      <c r="BF24" s="1341"/>
      <c r="BG24" s="1341"/>
      <c r="BH24" s="1341"/>
      <c r="BI24" s="1341"/>
      <c r="BJ24" s="1341"/>
      <c r="BK24" s="1341"/>
      <c r="BL24" s="1341"/>
      <c r="BM24" s="1341"/>
      <c r="BN24" s="1341"/>
      <c r="BO24" s="1341"/>
      <c r="BP24" s="1341"/>
      <c r="BQ24" s="1341"/>
    </row>
    <row r="25" spans="1:69" s="1342" customFormat="1" ht="21.75" customHeight="1" x14ac:dyDescent="0.25">
      <c r="A25" s="1339" t="s">
        <v>25</v>
      </c>
      <c r="B25" s="1338" t="s">
        <v>751</v>
      </c>
      <c r="C25" s="1453"/>
      <c r="D25" s="1453"/>
      <c r="E25" s="1453"/>
      <c r="F25" s="1453"/>
      <c r="G25" s="1453"/>
      <c r="H25" s="1453"/>
      <c r="I25" s="1453"/>
      <c r="J25" s="1453"/>
      <c r="K25" s="1453"/>
      <c r="L25" s="1453">
        <f t="shared" si="99"/>
        <v>1000</v>
      </c>
      <c r="M25" s="1453">
        <f t="shared" ref="M25:M26" si="100">N25+O25</f>
        <v>1000</v>
      </c>
      <c r="N25" s="1453"/>
      <c r="O25" s="1453">
        <v>1000</v>
      </c>
      <c r="P25" s="1453"/>
      <c r="Q25" s="1453"/>
      <c r="R25" s="1453"/>
      <c r="S25" s="1453">
        <f t="shared" ref="S25:S26" si="101">SUM(T25:AC25)</f>
        <v>1000</v>
      </c>
      <c r="T25" s="1453"/>
      <c r="U25" s="1453"/>
      <c r="V25" s="1453"/>
      <c r="W25" s="1453"/>
      <c r="X25" s="1453"/>
      <c r="Y25" s="1453"/>
      <c r="Z25" s="1453"/>
      <c r="AA25" s="1453"/>
      <c r="AB25" s="1453"/>
      <c r="AC25" s="1453">
        <v>1000</v>
      </c>
      <c r="AD25" s="1453"/>
      <c r="AE25" s="1453"/>
      <c r="AF25" s="1453"/>
      <c r="AG25" s="1453">
        <f t="shared" ref="AG25:AG26" si="102">SUM(AH25:AQ25)</f>
        <v>0</v>
      </c>
      <c r="AH25" s="1453"/>
      <c r="AI25" s="1453"/>
      <c r="AJ25" s="1453"/>
      <c r="AK25" s="1453"/>
      <c r="AL25" s="1453"/>
      <c r="AM25" s="1453"/>
      <c r="AN25" s="1453"/>
      <c r="AO25" s="1453"/>
      <c r="AP25" s="1453"/>
      <c r="AQ25" s="1453">
        <f t="shared" ref="AQ25:AQ26" si="103">O25+R25-AC25</f>
        <v>0</v>
      </c>
      <c r="AR25" s="1453"/>
      <c r="AS25" s="1340"/>
      <c r="AT25" s="1341"/>
      <c r="AU25" s="1341"/>
      <c r="AV25" s="1341"/>
      <c r="AW25" s="1341"/>
      <c r="AX25" s="1341"/>
      <c r="AY25" s="1341"/>
      <c r="AZ25" s="1341"/>
      <c r="BA25" s="1341"/>
      <c r="BB25" s="1341"/>
      <c r="BC25" s="1341"/>
      <c r="BD25" s="1341"/>
      <c r="BE25" s="1341"/>
      <c r="BF25" s="1341"/>
      <c r="BG25" s="1341"/>
      <c r="BH25" s="1341"/>
      <c r="BI25" s="1341"/>
      <c r="BJ25" s="1341"/>
      <c r="BK25" s="1341"/>
      <c r="BL25" s="1341"/>
      <c r="BM25" s="1341"/>
      <c r="BN25" s="1341"/>
      <c r="BO25" s="1341"/>
      <c r="BP25" s="1341"/>
      <c r="BQ25" s="1341"/>
    </row>
    <row r="26" spans="1:69" s="1342" customFormat="1" x14ac:dyDescent="0.25">
      <c r="A26" s="1339" t="s">
        <v>25</v>
      </c>
      <c r="B26" s="1338" t="s">
        <v>264</v>
      </c>
      <c r="C26" s="1453"/>
      <c r="D26" s="1453"/>
      <c r="E26" s="1453"/>
      <c r="F26" s="1453"/>
      <c r="G26" s="1453"/>
      <c r="H26" s="1453"/>
      <c r="I26" s="1453"/>
      <c r="J26" s="1453"/>
      <c r="K26" s="1453"/>
      <c r="L26" s="1453">
        <f t="shared" si="99"/>
        <v>0</v>
      </c>
      <c r="M26" s="1453">
        <f t="shared" si="100"/>
        <v>0</v>
      </c>
      <c r="N26" s="1453"/>
      <c r="O26" s="1453"/>
      <c r="P26" s="1453"/>
      <c r="Q26" s="1453"/>
      <c r="R26" s="1453"/>
      <c r="S26" s="1453">
        <f t="shared" si="101"/>
        <v>0</v>
      </c>
      <c r="T26" s="1453"/>
      <c r="U26" s="1453"/>
      <c r="V26" s="1453"/>
      <c r="W26" s="1453"/>
      <c r="X26" s="1453"/>
      <c r="Y26" s="1453"/>
      <c r="Z26" s="1453"/>
      <c r="AA26" s="1453"/>
      <c r="AB26" s="1453"/>
      <c r="AC26" s="1453"/>
      <c r="AD26" s="1453"/>
      <c r="AE26" s="1453"/>
      <c r="AF26" s="1453"/>
      <c r="AG26" s="1453">
        <f t="shared" si="102"/>
        <v>0</v>
      </c>
      <c r="AH26" s="1453"/>
      <c r="AI26" s="1453"/>
      <c r="AJ26" s="1453"/>
      <c r="AK26" s="1453"/>
      <c r="AL26" s="1453"/>
      <c r="AM26" s="1453"/>
      <c r="AN26" s="1453"/>
      <c r="AO26" s="1453"/>
      <c r="AP26" s="1453"/>
      <c r="AQ26" s="1453">
        <f t="shared" si="103"/>
        <v>0</v>
      </c>
      <c r="AR26" s="1453"/>
      <c r="AS26" s="1340"/>
      <c r="AT26" s="1341"/>
      <c r="AU26" s="1341"/>
      <c r="AV26" s="1341"/>
      <c r="AW26" s="1341"/>
      <c r="AX26" s="1341"/>
      <c r="AY26" s="1341"/>
      <c r="AZ26" s="1341"/>
      <c r="BA26" s="1341"/>
      <c r="BB26" s="1341"/>
      <c r="BC26" s="1341"/>
      <c r="BD26" s="1341"/>
      <c r="BE26" s="1341"/>
      <c r="BF26" s="1341"/>
      <c r="BG26" s="1341"/>
      <c r="BH26" s="1341"/>
      <c r="BI26" s="1341"/>
      <c r="BJ26" s="1341"/>
      <c r="BK26" s="1341"/>
      <c r="BL26" s="1341"/>
      <c r="BM26" s="1341"/>
      <c r="BN26" s="1341"/>
      <c r="BO26" s="1341"/>
      <c r="BP26" s="1341"/>
      <c r="BQ26" s="1341"/>
    </row>
    <row r="27" spans="1:69" s="1350" customFormat="1" ht="47.25" x14ac:dyDescent="0.25">
      <c r="A27" s="1351">
        <v>4</v>
      </c>
      <c r="B27" s="1352" t="s">
        <v>810</v>
      </c>
      <c r="C27" s="1455">
        <f>SUM(C28:C30)</f>
        <v>0</v>
      </c>
      <c r="D27" s="1455">
        <f t="shared" ref="D27" si="104">SUM(D28:D30)</f>
        <v>0</v>
      </c>
      <c r="E27" s="1455">
        <f t="shared" ref="E27" si="105">SUM(E28:E30)</f>
        <v>0</v>
      </c>
      <c r="F27" s="1455">
        <f t="shared" ref="F27" si="106">SUM(F28:F30)</f>
        <v>0</v>
      </c>
      <c r="G27" s="1455">
        <f t="shared" ref="G27" si="107">SUM(G28:G30)</f>
        <v>0</v>
      </c>
      <c r="H27" s="1455">
        <f t="shared" ref="H27" si="108">SUM(H28:H30)</f>
        <v>0</v>
      </c>
      <c r="I27" s="1455">
        <f t="shared" ref="I27" si="109">SUM(I28:I30)</f>
        <v>0</v>
      </c>
      <c r="J27" s="1455">
        <f t="shared" ref="J27" si="110">SUM(J28:J30)</f>
        <v>0</v>
      </c>
      <c r="K27" s="1455">
        <f t="shared" ref="K27" si="111">SUM(K28:K30)</f>
        <v>0</v>
      </c>
      <c r="L27" s="1455">
        <f t="shared" ref="L27" si="112">SUM(L28:L30)</f>
        <v>124000</v>
      </c>
      <c r="M27" s="1455">
        <f t="shared" ref="M27" si="113">SUM(M28:M30)</f>
        <v>124000</v>
      </c>
      <c r="N27" s="1455">
        <f t="shared" ref="N27" si="114">SUM(N28:N30)</f>
        <v>0</v>
      </c>
      <c r="O27" s="1455">
        <f t="shared" ref="O27" si="115">SUM(O28:O30)</f>
        <v>124000</v>
      </c>
      <c r="P27" s="1455">
        <f t="shared" ref="P27" si="116">SUM(P28:P30)</f>
        <v>0</v>
      </c>
      <c r="Q27" s="1455">
        <f t="shared" ref="Q27" si="117">SUM(Q28:Q30)</f>
        <v>0</v>
      </c>
      <c r="R27" s="1455">
        <f t="shared" ref="R27" si="118">SUM(R28:R30)</f>
        <v>0</v>
      </c>
      <c r="S27" s="1455">
        <f t="shared" ref="S27" si="119">SUM(S28:S30)</f>
        <v>109600</v>
      </c>
      <c r="T27" s="1455">
        <f t="shared" ref="T27" si="120">SUM(T28:T30)</f>
        <v>0</v>
      </c>
      <c r="U27" s="1455">
        <f t="shared" ref="U27" si="121">SUM(U28:U30)</f>
        <v>0</v>
      </c>
      <c r="V27" s="1455">
        <f t="shared" ref="V27" si="122">SUM(V28:V30)</f>
        <v>0</v>
      </c>
      <c r="W27" s="1455">
        <f t="shared" ref="W27" si="123">SUM(W28:W30)</f>
        <v>0</v>
      </c>
      <c r="X27" s="1455">
        <f t="shared" ref="X27" si="124">SUM(X28:X30)</f>
        <v>0</v>
      </c>
      <c r="Y27" s="1455">
        <f t="shared" ref="Y27" si="125">SUM(Y28:Y30)</f>
        <v>0</v>
      </c>
      <c r="Z27" s="1455">
        <f t="shared" ref="Z27" si="126">SUM(Z28:Z30)</f>
        <v>0</v>
      </c>
      <c r="AA27" s="1455">
        <f t="shared" ref="AA27" si="127">SUM(AA28:AA30)</f>
        <v>0</v>
      </c>
      <c r="AB27" s="1455">
        <f t="shared" ref="AB27" si="128">SUM(AB28:AB30)</f>
        <v>0</v>
      </c>
      <c r="AC27" s="1455">
        <f t="shared" ref="AC27" si="129">SUM(AC28:AC30)</f>
        <v>109600</v>
      </c>
      <c r="AD27" s="1455">
        <f t="shared" ref="AD27" si="130">SUM(AD28:AD30)</f>
        <v>0</v>
      </c>
      <c r="AE27" s="1455">
        <f t="shared" ref="AE27" si="131">SUM(AE28:AE30)</f>
        <v>0</v>
      </c>
      <c r="AF27" s="1455">
        <f t="shared" ref="AF27" si="132">SUM(AF28:AF30)</f>
        <v>0</v>
      </c>
      <c r="AG27" s="1455">
        <f t="shared" ref="AG27" si="133">SUM(AG28:AG30)</f>
        <v>14400</v>
      </c>
      <c r="AH27" s="1455">
        <f t="shared" ref="AH27" si="134">SUM(AH28:AH30)</f>
        <v>0</v>
      </c>
      <c r="AI27" s="1455">
        <f t="shared" ref="AI27" si="135">SUM(AI28:AI30)</f>
        <v>0</v>
      </c>
      <c r="AJ27" s="1455">
        <f t="shared" ref="AJ27" si="136">SUM(AJ28:AJ30)</f>
        <v>0</v>
      </c>
      <c r="AK27" s="1455">
        <f t="shared" ref="AK27" si="137">SUM(AK28:AK30)</f>
        <v>0</v>
      </c>
      <c r="AL27" s="1455">
        <f t="shared" ref="AL27" si="138">SUM(AL28:AL30)</f>
        <v>0</v>
      </c>
      <c r="AM27" s="1455">
        <f t="shared" ref="AM27" si="139">SUM(AM28:AM30)</f>
        <v>0</v>
      </c>
      <c r="AN27" s="1455">
        <f t="shared" ref="AN27" si="140">SUM(AN28:AN30)</f>
        <v>0</v>
      </c>
      <c r="AO27" s="1455">
        <f t="shared" ref="AO27" si="141">SUM(AO28:AO30)</f>
        <v>0</v>
      </c>
      <c r="AP27" s="1455">
        <f t="shared" ref="AP27" si="142">SUM(AP28:AP30)</f>
        <v>0</v>
      </c>
      <c r="AQ27" s="1455">
        <f t="shared" ref="AQ27" si="143">SUM(AQ28:AQ30)</f>
        <v>14400</v>
      </c>
      <c r="AR27" s="1455">
        <f t="shared" ref="AR27" si="144">SUM(AR28:AR30)</f>
        <v>0</v>
      </c>
      <c r="AS27" s="1348"/>
      <c r="AT27" s="1349"/>
      <c r="AU27" s="1349"/>
      <c r="AV27" s="1349"/>
      <c r="AW27" s="1349"/>
      <c r="AX27" s="1349"/>
      <c r="AY27" s="1349"/>
      <c r="AZ27" s="1349"/>
      <c r="BA27" s="1349"/>
      <c r="BB27" s="1349"/>
      <c r="BC27" s="1349"/>
      <c r="BD27" s="1349"/>
      <c r="BE27" s="1349"/>
      <c r="BF27" s="1349"/>
      <c r="BG27" s="1349"/>
      <c r="BH27" s="1349"/>
      <c r="BI27" s="1349"/>
      <c r="BJ27" s="1349"/>
      <c r="BK27" s="1349"/>
      <c r="BL27" s="1349"/>
      <c r="BM27" s="1349"/>
      <c r="BN27" s="1349"/>
      <c r="BO27" s="1349"/>
      <c r="BP27" s="1349"/>
      <c r="BQ27" s="1349"/>
    </row>
    <row r="28" spans="1:69" s="1342" customFormat="1" ht="21.75" customHeight="1" x14ac:dyDescent="0.25">
      <c r="A28" s="1339" t="s">
        <v>25</v>
      </c>
      <c r="B28" s="1338" t="s">
        <v>750</v>
      </c>
      <c r="C28" s="1453"/>
      <c r="D28" s="1453"/>
      <c r="E28" s="1453"/>
      <c r="F28" s="1453"/>
      <c r="G28" s="1453"/>
      <c r="H28" s="1453"/>
      <c r="I28" s="1453"/>
      <c r="J28" s="1453"/>
      <c r="K28" s="1453"/>
      <c r="L28" s="1453">
        <f t="shared" ref="L28:L30" si="145">M28+P28</f>
        <v>120000</v>
      </c>
      <c r="M28" s="1453">
        <f>N28+O28</f>
        <v>120000</v>
      </c>
      <c r="N28" s="1453"/>
      <c r="O28" s="1453">
        <v>120000</v>
      </c>
      <c r="P28" s="1453"/>
      <c r="Q28" s="1453"/>
      <c r="R28" s="1453"/>
      <c r="S28" s="1453">
        <f>SUM(T28:AC28)</f>
        <v>109600</v>
      </c>
      <c r="T28" s="1453"/>
      <c r="U28" s="1453"/>
      <c r="V28" s="1453"/>
      <c r="W28" s="1453"/>
      <c r="X28" s="1453"/>
      <c r="Y28" s="1453"/>
      <c r="Z28" s="1453"/>
      <c r="AA28" s="1453"/>
      <c r="AB28" s="1453"/>
      <c r="AC28" s="1453">
        <v>109600</v>
      </c>
      <c r="AD28" s="1453"/>
      <c r="AE28" s="1453"/>
      <c r="AF28" s="1453"/>
      <c r="AG28" s="1453">
        <f>SUM(AH28:AQ28)</f>
        <v>10400</v>
      </c>
      <c r="AH28" s="1453"/>
      <c r="AI28" s="1453"/>
      <c r="AJ28" s="1453"/>
      <c r="AK28" s="1453"/>
      <c r="AL28" s="1453"/>
      <c r="AM28" s="1453"/>
      <c r="AN28" s="1453"/>
      <c r="AO28" s="1453"/>
      <c r="AP28" s="1453"/>
      <c r="AQ28" s="1453">
        <f>O28+R28-AC28</f>
        <v>10400</v>
      </c>
      <c r="AR28" s="1453"/>
      <c r="AS28" s="1340"/>
      <c r="AT28" s="1341"/>
      <c r="AU28" s="1341"/>
      <c r="AV28" s="1341"/>
      <c r="AW28" s="1341"/>
      <c r="AX28" s="1341"/>
      <c r="AY28" s="1341"/>
      <c r="AZ28" s="1341"/>
      <c r="BA28" s="1341"/>
      <c r="BB28" s="1341"/>
      <c r="BC28" s="1341"/>
      <c r="BD28" s="1341"/>
      <c r="BE28" s="1341"/>
      <c r="BF28" s="1341"/>
      <c r="BG28" s="1341"/>
      <c r="BH28" s="1341"/>
      <c r="BI28" s="1341"/>
      <c r="BJ28" s="1341"/>
      <c r="BK28" s="1341"/>
      <c r="BL28" s="1341"/>
      <c r="BM28" s="1341"/>
      <c r="BN28" s="1341"/>
      <c r="BO28" s="1341"/>
      <c r="BP28" s="1341"/>
      <c r="BQ28" s="1341"/>
    </row>
    <row r="29" spans="1:69" s="1342" customFormat="1" ht="21.75" customHeight="1" x14ac:dyDescent="0.25">
      <c r="A29" s="1339" t="s">
        <v>25</v>
      </c>
      <c r="B29" s="1338" t="s">
        <v>751</v>
      </c>
      <c r="C29" s="1453"/>
      <c r="D29" s="1453"/>
      <c r="E29" s="1453"/>
      <c r="F29" s="1453"/>
      <c r="G29" s="1453"/>
      <c r="H29" s="1453"/>
      <c r="I29" s="1453"/>
      <c r="J29" s="1453"/>
      <c r="K29" s="1453"/>
      <c r="L29" s="1453">
        <f t="shared" si="145"/>
        <v>4000</v>
      </c>
      <c r="M29" s="1453">
        <f t="shared" ref="M29:M30" si="146">N29+O29</f>
        <v>4000</v>
      </c>
      <c r="N29" s="1453"/>
      <c r="O29" s="1453">
        <v>4000</v>
      </c>
      <c r="P29" s="1453"/>
      <c r="Q29" s="1453"/>
      <c r="R29" s="1453"/>
      <c r="S29" s="1453">
        <f t="shared" ref="S29:S30" si="147">SUM(T29:AC29)</f>
        <v>0</v>
      </c>
      <c r="T29" s="1453"/>
      <c r="U29" s="1453"/>
      <c r="V29" s="1453"/>
      <c r="W29" s="1453"/>
      <c r="X29" s="1453"/>
      <c r="Y29" s="1453"/>
      <c r="Z29" s="1453"/>
      <c r="AA29" s="1453"/>
      <c r="AB29" s="1453"/>
      <c r="AC29" s="1453"/>
      <c r="AD29" s="1453"/>
      <c r="AE29" s="1453"/>
      <c r="AF29" s="1453"/>
      <c r="AG29" s="1453">
        <f t="shared" ref="AG29:AG30" si="148">SUM(AH29:AQ29)</f>
        <v>4000</v>
      </c>
      <c r="AH29" s="1453"/>
      <c r="AI29" s="1453"/>
      <c r="AJ29" s="1453"/>
      <c r="AK29" s="1453"/>
      <c r="AL29" s="1453"/>
      <c r="AM29" s="1453"/>
      <c r="AN29" s="1453"/>
      <c r="AO29" s="1453"/>
      <c r="AP29" s="1453"/>
      <c r="AQ29" s="1453">
        <f t="shared" ref="AQ29:AQ30" si="149">O29+R29-AC29</f>
        <v>4000</v>
      </c>
      <c r="AR29" s="1453"/>
      <c r="AS29" s="1340"/>
      <c r="AT29" s="1341"/>
      <c r="AU29" s="1341"/>
      <c r="AV29" s="1341"/>
      <c r="AW29" s="1341"/>
      <c r="AX29" s="1341"/>
      <c r="AY29" s="1341"/>
      <c r="AZ29" s="1341"/>
      <c r="BA29" s="1341"/>
      <c r="BB29" s="1341"/>
      <c r="BC29" s="1341"/>
      <c r="BD29" s="1341"/>
      <c r="BE29" s="1341"/>
      <c r="BF29" s="1341"/>
      <c r="BG29" s="1341"/>
      <c r="BH29" s="1341"/>
      <c r="BI29" s="1341"/>
      <c r="BJ29" s="1341"/>
      <c r="BK29" s="1341"/>
      <c r="BL29" s="1341"/>
      <c r="BM29" s="1341"/>
      <c r="BN29" s="1341"/>
      <c r="BO29" s="1341"/>
      <c r="BP29" s="1341"/>
      <c r="BQ29" s="1341"/>
    </row>
    <row r="30" spans="1:69" s="1342" customFormat="1" x14ac:dyDescent="0.25">
      <c r="A30" s="1339" t="s">
        <v>25</v>
      </c>
      <c r="B30" s="1338" t="s">
        <v>264</v>
      </c>
      <c r="C30" s="1453"/>
      <c r="D30" s="1453"/>
      <c r="E30" s="1453"/>
      <c r="F30" s="1453"/>
      <c r="G30" s="1453"/>
      <c r="H30" s="1453"/>
      <c r="I30" s="1453"/>
      <c r="J30" s="1453"/>
      <c r="K30" s="1453"/>
      <c r="L30" s="1453">
        <f t="shared" si="145"/>
        <v>0</v>
      </c>
      <c r="M30" s="1453">
        <f t="shared" si="146"/>
        <v>0</v>
      </c>
      <c r="N30" s="1453"/>
      <c r="O30" s="1453"/>
      <c r="P30" s="1453"/>
      <c r="Q30" s="1453"/>
      <c r="R30" s="1453"/>
      <c r="S30" s="1453">
        <f t="shared" si="147"/>
        <v>0</v>
      </c>
      <c r="T30" s="1453"/>
      <c r="U30" s="1453"/>
      <c r="V30" s="1453"/>
      <c r="W30" s="1453"/>
      <c r="X30" s="1453"/>
      <c r="Y30" s="1453"/>
      <c r="Z30" s="1453"/>
      <c r="AA30" s="1453"/>
      <c r="AB30" s="1453"/>
      <c r="AC30" s="1453"/>
      <c r="AD30" s="1453"/>
      <c r="AE30" s="1453"/>
      <c r="AF30" s="1453"/>
      <c r="AG30" s="1453">
        <f t="shared" si="148"/>
        <v>0</v>
      </c>
      <c r="AH30" s="1453"/>
      <c r="AI30" s="1453"/>
      <c r="AJ30" s="1453"/>
      <c r="AK30" s="1453"/>
      <c r="AL30" s="1453"/>
      <c r="AM30" s="1453"/>
      <c r="AN30" s="1453"/>
      <c r="AO30" s="1453"/>
      <c r="AP30" s="1453"/>
      <c r="AQ30" s="1453">
        <f t="shared" si="149"/>
        <v>0</v>
      </c>
      <c r="AR30" s="1453"/>
      <c r="AS30" s="1340"/>
      <c r="AT30" s="1341"/>
      <c r="AU30" s="1341"/>
      <c r="AV30" s="1341"/>
      <c r="AW30" s="1341"/>
      <c r="AX30" s="1341"/>
      <c r="AY30" s="1341"/>
      <c r="AZ30" s="1341"/>
      <c r="BA30" s="1341"/>
      <c r="BB30" s="1341"/>
      <c r="BC30" s="1341"/>
      <c r="BD30" s="1341"/>
      <c r="BE30" s="1341"/>
      <c r="BF30" s="1341"/>
      <c r="BG30" s="1341"/>
      <c r="BH30" s="1341"/>
      <c r="BI30" s="1341"/>
      <c r="BJ30" s="1341"/>
      <c r="BK30" s="1341"/>
      <c r="BL30" s="1341"/>
      <c r="BM30" s="1341"/>
      <c r="BN30" s="1341"/>
      <c r="BO30" s="1341"/>
      <c r="BP30" s="1341"/>
      <c r="BQ30" s="1341"/>
    </row>
    <row r="31" spans="1:69" s="1350" customFormat="1" ht="31.5" x14ac:dyDescent="0.25">
      <c r="A31" s="1351">
        <v>5</v>
      </c>
      <c r="B31" s="1352" t="s">
        <v>811</v>
      </c>
      <c r="C31" s="1455">
        <f>SUM(C32:C34)</f>
        <v>0</v>
      </c>
      <c r="D31" s="1455">
        <f t="shared" ref="D31" si="150">SUM(D32:D34)</f>
        <v>0</v>
      </c>
      <c r="E31" s="1455">
        <f t="shared" ref="E31" si="151">SUM(E32:E34)</f>
        <v>0</v>
      </c>
      <c r="F31" s="1455">
        <f t="shared" ref="F31" si="152">SUM(F32:F34)</f>
        <v>0</v>
      </c>
      <c r="G31" s="1455">
        <f t="shared" ref="G31" si="153">SUM(G32:G34)</f>
        <v>0</v>
      </c>
      <c r="H31" s="1455">
        <f t="shared" ref="H31" si="154">SUM(H32:H34)</f>
        <v>0</v>
      </c>
      <c r="I31" s="1455">
        <f t="shared" ref="I31" si="155">SUM(I32:I34)</f>
        <v>0</v>
      </c>
      <c r="J31" s="1455">
        <f t="shared" ref="J31" si="156">SUM(J32:J34)</f>
        <v>0</v>
      </c>
      <c r="K31" s="1455">
        <f t="shared" ref="K31" si="157">SUM(K32:K34)</f>
        <v>0</v>
      </c>
      <c r="L31" s="1455">
        <f t="shared" ref="L31" si="158">SUM(L32:L34)</f>
        <v>62000</v>
      </c>
      <c r="M31" s="1455">
        <f t="shared" ref="M31" si="159">SUM(M32:M34)</f>
        <v>62000</v>
      </c>
      <c r="N31" s="1455">
        <f t="shared" ref="N31" si="160">SUM(N32:N34)</f>
        <v>0</v>
      </c>
      <c r="O31" s="1455">
        <f t="shared" ref="O31" si="161">SUM(O32:O34)</f>
        <v>62000</v>
      </c>
      <c r="P31" s="1455">
        <f t="shared" ref="P31" si="162">SUM(P32:P34)</f>
        <v>0</v>
      </c>
      <c r="Q31" s="1455">
        <f t="shared" ref="Q31" si="163">SUM(Q32:Q34)</f>
        <v>0</v>
      </c>
      <c r="R31" s="1455">
        <f t="shared" ref="R31" si="164">SUM(R32:R34)</f>
        <v>0</v>
      </c>
      <c r="S31" s="1455">
        <f t="shared" ref="S31" si="165">SUM(S32:S34)</f>
        <v>21516.5</v>
      </c>
      <c r="T31" s="1455">
        <f t="shared" ref="T31" si="166">SUM(T32:T34)</f>
        <v>0</v>
      </c>
      <c r="U31" s="1455">
        <f t="shared" ref="U31" si="167">SUM(U32:U34)</f>
        <v>0</v>
      </c>
      <c r="V31" s="1455">
        <f t="shared" ref="V31" si="168">SUM(V32:V34)</f>
        <v>0</v>
      </c>
      <c r="W31" s="1455">
        <f t="shared" ref="W31" si="169">SUM(W32:W34)</f>
        <v>0</v>
      </c>
      <c r="X31" s="1455">
        <f t="shared" ref="X31" si="170">SUM(X32:X34)</f>
        <v>0</v>
      </c>
      <c r="Y31" s="1455">
        <f t="shared" ref="Y31" si="171">SUM(Y32:Y34)</f>
        <v>0</v>
      </c>
      <c r="Z31" s="1455">
        <f t="shared" ref="Z31" si="172">SUM(Z32:Z34)</f>
        <v>0</v>
      </c>
      <c r="AA31" s="1455">
        <f t="shared" ref="AA31" si="173">SUM(AA32:AA34)</f>
        <v>0</v>
      </c>
      <c r="AB31" s="1455">
        <f t="shared" ref="AB31" si="174">SUM(AB32:AB34)</f>
        <v>0</v>
      </c>
      <c r="AC31" s="1455">
        <f t="shared" ref="AC31" si="175">SUM(AC32:AC34)</f>
        <v>21516.5</v>
      </c>
      <c r="AD31" s="1455">
        <f t="shared" ref="AD31" si="176">SUM(AD32:AD34)</f>
        <v>0</v>
      </c>
      <c r="AE31" s="1455">
        <f t="shared" ref="AE31" si="177">SUM(AE32:AE34)</f>
        <v>0</v>
      </c>
      <c r="AF31" s="1455">
        <f t="shared" ref="AF31" si="178">SUM(AF32:AF34)</f>
        <v>0</v>
      </c>
      <c r="AG31" s="1455">
        <f t="shared" ref="AG31" si="179">SUM(AG32:AG34)</f>
        <v>40483.5</v>
      </c>
      <c r="AH31" s="1455">
        <f t="shared" ref="AH31" si="180">SUM(AH32:AH34)</f>
        <v>0</v>
      </c>
      <c r="AI31" s="1455">
        <f t="shared" ref="AI31" si="181">SUM(AI32:AI34)</f>
        <v>0</v>
      </c>
      <c r="AJ31" s="1455">
        <f t="shared" ref="AJ31" si="182">SUM(AJ32:AJ34)</f>
        <v>0</v>
      </c>
      <c r="AK31" s="1455">
        <f t="shared" ref="AK31" si="183">SUM(AK32:AK34)</f>
        <v>0</v>
      </c>
      <c r="AL31" s="1455">
        <f t="shared" ref="AL31" si="184">SUM(AL32:AL34)</f>
        <v>0</v>
      </c>
      <c r="AM31" s="1455">
        <f t="shared" ref="AM31" si="185">SUM(AM32:AM34)</f>
        <v>0</v>
      </c>
      <c r="AN31" s="1455">
        <f t="shared" ref="AN31" si="186">SUM(AN32:AN34)</f>
        <v>0</v>
      </c>
      <c r="AO31" s="1455">
        <f t="shared" ref="AO31" si="187">SUM(AO32:AO34)</f>
        <v>0</v>
      </c>
      <c r="AP31" s="1455">
        <f t="shared" ref="AP31" si="188">SUM(AP32:AP34)</f>
        <v>0</v>
      </c>
      <c r="AQ31" s="1455">
        <f t="shared" ref="AQ31" si="189">SUM(AQ32:AQ34)</f>
        <v>40483.5</v>
      </c>
      <c r="AR31" s="1455">
        <f t="shared" ref="AR31" si="190">SUM(AR32:AR34)</f>
        <v>0</v>
      </c>
      <c r="AS31" s="1348"/>
      <c r="AT31" s="1349"/>
      <c r="AU31" s="1349"/>
      <c r="AV31" s="1349"/>
      <c r="AW31" s="1349"/>
      <c r="AX31" s="1349"/>
      <c r="AY31" s="1349"/>
      <c r="AZ31" s="1349"/>
      <c r="BA31" s="1349"/>
      <c r="BB31" s="1349"/>
      <c r="BC31" s="1349"/>
      <c r="BD31" s="1349"/>
      <c r="BE31" s="1349"/>
      <c r="BF31" s="1349"/>
      <c r="BG31" s="1349"/>
      <c r="BH31" s="1349"/>
      <c r="BI31" s="1349"/>
      <c r="BJ31" s="1349"/>
      <c r="BK31" s="1349"/>
      <c r="BL31" s="1349"/>
      <c r="BM31" s="1349"/>
      <c r="BN31" s="1349"/>
      <c r="BO31" s="1349"/>
      <c r="BP31" s="1349"/>
      <c r="BQ31" s="1349"/>
    </row>
    <row r="32" spans="1:69" s="1342" customFormat="1" ht="21.75" customHeight="1" x14ac:dyDescent="0.25">
      <c r="A32" s="1339" t="s">
        <v>25</v>
      </c>
      <c r="B32" s="1338" t="s">
        <v>750</v>
      </c>
      <c r="C32" s="1453"/>
      <c r="D32" s="1453"/>
      <c r="E32" s="1453"/>
      <c r="F32" s="1453"/>
      <c r="G32" s="1453"/>
      <c r="H32" s="1453"/>
      <c r="I32" s="1453"/>
      <c r="J32" s="1453"/>
      <c r="K32" s="1453"/>
      <c r="L32" s="1453">
        <f t="shared" ref="L32:L34" si="191">M32+P32</f>
        <v>60000</v>
      </c>
      <c r="M32" s="1453">
        <f>N32+O32</f>
        <v>60000</v>
      </c>
      <c r="N32" s="1453"/>
      <c r="O32" s="1453">
        <v>60000</v>
      </c>
      <c r="P32" s="1453"/>
      <c r="Q32" s="1453"/>
      <c r="R32" s="1453"/>
      <c r="S32" s="1453">
        <f>SUM(T32:AC32)</f>
        <v>21516.5</v>
      </c>
      <c r="T32" s="1453"/>
      <c r="U32" s="1453"/>
      <c r="V32" s="1453"/>
      <c r="W32" s="1453"/>
      <c r="X32" s="1453"/>
      <c r="Y32" s="1453"/>
      <c r="Z32" s="1453"/>
      <c r="AA32" s="1453"/>
      <c r="AB32" s="1453"/>
      <c r="AC32" s="1453">
        <v>21516.5</v>
      </c>
      <c r="AD32" s="1453"/>
      <c r="AE32" s="1453"/>
      <c r="AF32" s="1453"/>
      <c r="AG32" s="1453">
        <f>SUM(AH32:AQ32)</f>
        <v>38483.5</v>
      </c>
      <c r="AH32" s="1453"/>
      <c r="AI32" s="1453"/>
      <c r="AJ32" s="1453"/>
      <c r="AK32" s="1453"/>
      <c r="AL32" s="1453"/>
      <c r="AM32" s="1453"/>
      <c r="AN32" s="1453"/>
      <c r="AO32" s="1453"/>
      <c r="AP32" s="1453"/>
      <c r="AQ32" s="1453">
        <f>O32+R32-AC32</f>
        <v>38483.5</v>
      </c>
      <c r="AR32" s="1453"/>
      <c r="AS32" s="1340"/>
      <c r="AT32" s="1341"/>
      <c r="AU32" s="1341"/>
      <c r="AV32" s="1341"/>
      <c r="AW32" s="1341"/>
      <c r="AX32" s="1341"/>
      <c r="AY32" s="1341"/>
      <c r="AZ32" s="1341"/>
      <c r="BA32" s="1341"/>
      <c r="BB32" s="1341"/>
      <c r="BC32" s="1341"/>
      <c r="BD32" s="1341"/>
      <c r="BE32" s="1341"/>
      <c r="BF32" s="1341"/>
      <c r="BG32" s="1341"/>
      <c r="BH32" s="1341"/>
      <c r="BI32" s="1341"/>
      <c r="BJ32" s="1341"/>
      <c r="BK32" s="1341"/>
      <c r="BL32" s="1341"/>
      <c r="BM32" s="1341"/>
      <c r="BN32" s="1341"/>
      <c r="BO32" s="1341"/>
      <c r="BP32" s="1341"/>
      <c r="BQ32" s="1341"/>
    </row>
    <row r="33" spans="1:69" s="1342" customFormat="1" ht="21.75" customHeight="1" x14ac:dyDescent="0.25">
      <c r="A33" s="1339" t="s">
        <v>25</v>
      </c>
      <c r="B33" s="1338" t="s">
        <v>751</v>
      </c>
      <c r="C33" s="1453"/>
      <c r="D33" s="1453"/>
      <c r="E33" s="1453"/>
      <c r="F33" s="1453"/>
      <c r="G33" s="1453"/>
      <c r="H33" s="1453"/>
      <c r="I33" s="1453"/>
      <c r="J33" s="1453"/>
      <c r="K33" s="1453"/>
      <c r="L33" s="1453">
        <f t="shared" si="191"/>
        <v>2000</v>
      </c>
      <c r="M33" s="1453">
        <f t="shared" ref="M33:M34" si="192">N33+O33</f>
        <v>2000</v>
      </c>
      <c r="N33" s="1453"/>
      <c r="O33" s="1453">
        <v>2000</v>
      </c>
      <c r="P33" s="1453"/>
      <c r="Q33" s="1453"/>
      <c r="R33" s="1453"/>
      <c r="S33" s="1453">
        <f t="shared" ref="S33:S34" si="193">SUM(T33:AC33)</f>
        <v>0</v>
      </c>
      <c r="T33" s="1453"/>
      <c r="U33" s="1453"/>
      <c r="V33" s="1453"/>
      <c r="W33" s="1453"/>
      <c r="X33" s="1453"/>
      <c r="Y33" s="1453"/>
      <c r="Z33" s="1453"/>
      <c r="AA33" s="1453"/>
      <c r="AB33" s="1453"/>
      <c r="AC33" s="1453"/>
      <c r="AD33" s="1453"/>
      <c r="AE33" s="1453"/>
      <c r="AF33" s="1453"/>
      <c r="AG33" s="1453">
        <f t="shared" ref="AG33:AG34" si="194">SUM(AH33:AQ33)</f>
        <v>2000</v>
      </c>
      <c r="AH33" s="1453"/>
      <c r="AI33" s="1453"/>
      <c r="AJ33" s="1453"/>
      <c r="AK33" s="1453"/>
      <c r="AL33" s="1453"/>
      <c r="AM33" s="1453"/>
      <c r="AN33" s="1453"/>
      <c r="AO33" s="1453"/>
      <c r="AP33" s="1453"/>
      <c r="AQ33" s="1453">
        <f t="shared" ref="AQ33:AQ34" si="195">O33+R33-AC33</f>
        <v>2000</v>
      </c>
      <c r="AR33" s="1453"/>
      <c r="AS33" s="1340"/>
      <c r="AT33" s="1341"/>
      <c r="AU33" s="1341"/>
      <c r="AV33" s="1341"/>
      <c r="AW33" s="1341"/>
      <c r="AX33" s="1341"/>
      <c r="AY33" s="1341"/>
      <c r="AZ33" s="1341"/>
      <c r="BA33" s="1341"/>
      <c r="BB33" s="1341"/>
      <c r="BC33" s="1341"/>
      <c r="BD33" s="1341"/>
      <c r="BE33" s="1341"/>
      <c r="BF33" s="1341"/>
      <c r="BG33" s="1341"/>
      <c r="BH33" s="1341"/>
      <c r="BI33" s="1341"/>
      <c r="BJ33" s="1341"/>
      <c r="BK33" s="1341"/>
      <c r="BL33" s="1341"/>
      <c r="BM33" s="1341"/>
      <c r="BN33" s="1341"/>
      <c r="BO33" s="1341"/>
      <c r="BP33" s="1341"/>
      <c r="BQ33" s="1341"/>
    </row>
    <row r="34" spans="1:69" s="1342" customFormat="1" x14ac:dyDescent="0.25">
      <c r="A34" s="1339" t="s">
        <v>25</v>
      </c>
      <c r="B34" s="1338" t="s">
        <v>264</v>
      </c>
      <c r="C34" s="1453"/>
      <c r="D34" s="1453"/>
      <c r="E34" s="1453"/>
      <c r="F34" s="1453"/>
      <c r="G34" s="1453"/>
      <c r="H34" s="1453"/>
      <c r="I34" s="1453"/>
      <c r="J34" s="1453"/>
      <c r="K34" s="1453"/>
      <c r="L34" s="1453">
        <f t="shared" si="191"/>
        <v>0</v>
      </c>
      <c r="M34" s="1453">
        <f t="shared" si="192"/>
        <v>0</v>
      </c>
      <c r="N34" s="1453"/>
      <c r="O34" s="1453"/>
      <c r="P34" s="1453"/>
      <c r="Q34" s="1453"/>
      <c r="R34" s="1453"/>
      <c r="S34" s="1453">
        <f t="shared" si="193"/>
        <v>0</v>
      </c>
      <c r="T34" s="1453"/>
      <c r="U34" s="1453"/>
      <c r="V34" s="1453"/>
      <c r="W34" s="1453"/>
      <c r="X34" s="1453"/>
      <c r="Y34" s="1453"/>
      <c r="Z34" s="1453"/>
      <c r="AA34" s="1453"/>
      <c r="AB34" s="1453"/>
      <c r="AC34" s="1453"/>
      <c r="AD34" s="1453"/>
      <c r="AE34" s="1453"/>
      <c r="AF34" s="1453"/>
      <c r="AG34" s="1453">
        <f t="shared" si="194"/>
        <v>0</v>
      </c>
      <c r="AH34" s="1453"/>
      <c r="AI34" s="1453"/>
      <c r="AJ34" s="1453"/>
      <c r="AK34" s="1453"/>
      <c r="AL34" s="1453"/>
      <c r="AM34" s="1453"/>
      <c r="AN34" s="1453"/>
      <c r="AO34" s="1453"/>
      <c r="AP34" s="1453"/>
      <c r="AQ34" s="1453">
        <f t="shared" si="195"/>
        <v>0</v>
      </c>
      <c r="AR34" s="1453"/>
      <c r="AS34" s="1340"/>
      <c r="AT34" s="1341"/>
      <c r="AU34" s="1341"/>
      <c r="AV34" s="1341"/>
      <c r="AW34" s="1341"/>
      <c r="AX34" s="1341"/>
      <c r="AY34" s="1341"/>
      <c r="AZ34" s="1341"/>
      <c r="BA34" s="1341"/>
      <c r="BB34" s="1341"/>
      <c r="BC34" s="1341"/>
      <c r="BD34" s="1341"/>
      <c r="BE34" s="1341"/>
      <c r="BF34" s="1341"/>
      <c r="BG34" s="1341"/>
      <c r="BH34" s="1341"/>
      <c r="BI34" s="1341"/>
      <c r="BJ34" s="1341"/>
      <c r="BK34" s="1341"/>
      <c r="BL34" s="1341"/>
      <c r="BM34" s="1341"/>
      <c r="BN34" s="1341"/>
      <c r="BO34" s="1341"/>
      <c r="BP34" s="1341"/>
      <c r="BQ34" s="1341"/>
    </row>
    <row r="35" spans="1:69" s="1347" customFormat="1" ht="55.5" customHeight="1" x14ac:dyDescent="0.25">
      <c r="A35" s="1344" t="s">
        <v>12</v>
      </c>
      <c r="B35" s="1345" t="s">
        <v>753</v>
      </c>
      <c r="C35" s="1454">
        <f>SUM(C36:C38)</f>
        <v>74000</v>
      </c>
      <c r="D35" s="1454">
        <f t="shared" ref="D35" si="196">SUM(D36:D38)</f>
        <v>0</v>
      </c>
      <c r="E35" s="1454">
        <f t="shared" ref="E35" si="197">SUM(E36:E38)</f>
        <v>0</v>
      </c>
      <c r="F35" s="1454">
        <f t="shared" ref="F35" si="198">SUM(F36:F38)</f>
        <v>0</v>
      </c>
      <c r="G35" s="1454">
        <f t="shared" ref="G35" si="199">SUM(G36:G38)</f>
        <v>0</v>
      </c>
      <c r="H35" s="1454">
        <f t="shared" ref="H35" si="200">SUM(H36:H38)</f>
        <v>0</v>
      </c>
      <c r="I35" s="1454">
        <f t="shared" ref="I35" si="201">SUM(I36:I38)</f>
        <v>0</v>
      </c>
      <c r="J35" s="1454">
        <f t="shared" ref="J35" si="202">SUM(J36:J38)</f>
        <v>74000</v>
      </c>
      <c r="K35" s="1454">
        <f t="shared" ref="K35" si="203">SUM(K36:K38)</f>
        <v>0</v>
      </c>
      <c r="L35" s="1454">
        <f t="shared" ref="L35" si="204">SUM(L36:L38)</f>
        <v>184000</v>
      </c>
      <c r="M35" s="1454">
        <f t="shared" ref="M35" si="205">SUM(M36:M38)</f>
        <v>184000</v>
      </c>
      <c r="N35" s="1454">
        <f t="shared" ref="N35" si="206">SUM(N36:N38)</f>
        <v>0</v>
      </c>
      <c r="O35" s="1454">
        <f t="shared" ref="O35" si="207">SUM(O36:O38)</f>
        <v>184000</v>
      </c>
      <c r="P35" s="1454">
        <f t="shared" ref="P35" si="208">SUM(P36:P38)</f>
        <v>0</v>
      </c>
      <c r="Q35" s="1454">
        <f t="shared" ref="Q35" si="209">SUM(Q36:Q38)</f>
        <v>0</v>
      </c>
      <c r="R35" s="1454">
        <f t="shared" ref="R35" si="210">SUM(R36:R38)</f>
        <v>0</v>
      </c>
      <c r="S35" s="1454">
        <f t="shared" ref="S35" si="211">SUM(S36:S38)</f>
        <v>127960.04900000001</v>
      </c>
      <c r="T35" s="1454">
        <f t="shared" ref="T35" si="212">SUM(T36:T38)</f>
        <v>0</v>
      </c>
      <c r="U35" s="1454">
        <f t="shared" ref="U35" si="213">SUM(U36:U38)</f>
        <v>0</v>
      </c>
      <c r="V35" s="1454">
        <f t="shared" ref="V35" si="214">SUM(V36:V38)</f>
        <v>0</v>
      </c>
      <c r="W35" s="1454">
        <f t="shared" ref="W35" si="215">SUM(W36:W38)</f>
        <v>0</v>
      </c>
      <c r="X35" s="1454">
        <f t="shared" ref="X35" si="216">SUM(X36:X38)</f>
        <v>0</v>
      </c>
      <c r="Y35" s="1454">
        <f t="shared" ref="Y35" si="217">SUM(Y36:Y38)</f>
        <v>0</v>
      </c>
      <c r="Z35" s="1454">
        <f t="shared" ref="Z35" si="218">SUM(Z36:Z38)</f>
        <v>60964.895000000004</v>
      </c>
      <c r="AA35" s="1454">
        <f t="shared" ref="AA35" si="219">SUM(AA36:AA38)</f>
        <v>0</v>
      </c>
      <c r="AB35" s="1454">
        <f t="shared" ref="AB35" si="220">SUM(AB36:AB38)</f>
        <v>0</v>
      </c>
      <c r="AC35" s="1454">
        <f t="shared" ref="AC35" si="221">SUM(AC36:AC38)</f>
        <v>66995.15400000001</v>
      </c>
      <c r="AD35" s="1454">
        <f t="shared" ref="AD35" si="222">SUM(AD36:AD38)</f>
        <v>0</v>
      </c>
      <c r="AE35" s="1454">
        <f t="shared" ref="AE35" si="223">SUM(AE36:AE38)</f>
        <v>0</v>
      </c>
      <c r="AF35" s="1454">
        <f t="shared" ref="AF35" si="224">SUM(AF36:AF38)</f>
        <v>0</v>
      </c>
      <c r="AG35" s="1454">
        <f t="shared" ref="AG35" si="225">SUM(AG36:AG38)</f>
        <v>204039.951</v>
      </c>
      <c r="AH35" s="1454">
        <f t="shared" ref="AH35" si="226">SUM(AH36:AH38)</f>
        <v>0</v>
      </c>
      <c r="AI35" s="1454">
        <f t="shared" ref="AI35" si="227">SUM(AI36:AI38)</f>
        <v>0</v>
      </c>
      <c r="AJ35" s="1454">
        <f t="shared" ref="AJ35" si="228">SUM(AJ36:AJ38)</f>
        <v>0</v>
      </c>
      <c r="AK35" s="1454">
        <f t="shared" ref="AK35" si="229">SUM(AK36:AK38)</f>
        <v>0</v>
      </c>
      <c r="AL35" s="1454">
        <f t="shared" ref="AL35" si="230">SUM(AL36:AL38)</f>
        <v>0</v>
      </c>
      <c r="AM35" s="1454">
        <f t="shared" ref="AM35" si="231">SUM(AM36:AM38)</f>
        <v>0</v>
      </c>
      <c r="AN35" s="1454">
        <f t="shared" ref="AN35" si="232">SUM(AN36:AN38)</f>
        <v>0</v>
      </c>
      <c r="AO35" s="1454">
        <f t="shared" ref="AO35" si="233">SUM(AO36:AO38)</f>
        <v>0</v>
      </c>
      <c r="AP35" s="1454">
        <f t="shared" ref="AP35" si="234">SUM(AP36:AP38)</f>
        <v>13035.105</v>
      </c>
      <c r="AQ35" s="1454">
        <f t="shared" ref="AQ35" si="235">SUM(AQ36:AQ38)</f>
        <v>191004.84599999999</v>
      </c>
      <c r="AR35" s="1454">
        <f t="shared" ref="AR35" si="236">SUM(AR36:AR38)</f>
        <v>0</v>
      </c>
      <c r="AS35" s="1343"/>
      <c r="AT35" s="1346"/>
      <c r="AU35" s="1346"/>
      <c r="AV35" s="1346"/>
      <c r="AW35" s="1346"/>
      <c r="AX35" s="1346"/>
      <c r="AY35" s="1346"/>
      <c r="AZ35" s="1346"/>
      <c r="BA35" s="1346"/>
      <c r="BB35" s="1346"/>
      <c r="BC35" s="1346"/>
      <c r="BD35" s="1346"/>
      <c r="BE35" s="1346"/>
      <c r="BF35" s="1346"/>
      <c r="BG35" s="1346"/>
      <c r="BH35" s="1346"/>
      <c r="BI35" s="1346"/>
      <c r="BJ35" s="1346"/>
      <c r="BK35" s="1346"/>
      <c r="BL35" s="1346"/>
      <c r="BM35" s="1346"/>
      <c r="BN35" s="1346"/>
      <c r="BO35" s="1346"/>
      <c r="BP35" s="1346"/>
      <c r="BQ35" s="1346"/>
    </row>
    <row r="36" spans="1:69" s="1342" customFormat="1" ht="21.75" customHeight="1" x14ac:dyDescent="0.25">
      <c r="A36" s="1339" t="s">
        <v>25</v>
      </c>
      <c r="B36" s="1338" t="s">
        <v>750</v>
      </c>
      <c r="C36" s="1453">
        <f>C40+C44+C48+C52+C56+C60</f>
        <v>54000</v>
      </c>
      <c r="D36" s="1453">
        <f t="shared" ref="D36:AR38" si="237">D40+D44+D48+D52+D56+D60</f>
        <v>0</v>
      </c>
      <c r="E36" s="1453">
        <f t="shared" si="237"/>
        <v>0</v>
      </c>
      <c r="F36" s="1453">
        <f t="shared" si="237"/>
        <v>0</v>
      </c>
      <c r="G36" s="1453">
        <f t="shared" si="237"/>
        <v>0</v>
      </c>
      <c r="H36" s="1453">
        <f t="shared" si="237"/>
        <v>0</v>
      </c>
      <c r="I36" s="1453">
        <f t="shared" si="237"/>
        <v>0</v>
      </c>
      <c r="J36" s="1453">
        <f t="shared" si="237"/>
        <v>54000</v>
      </c>
      <c r="K36" s="1453">
        <f t="shared" si="237"/>
        <v>0</v>
      </c>
      <c r="L36" s="1453">
        <f t="shared" si="237"/>
        <v>178000</v>
      </c>
      <c r="M36" s="1453">
        <f t="shared" si="237"/>
        <v>178000</v>
      </c>
      <c r="N36" s="1453">
        <f t="shared" si="237"/>
        <v>0</v>
      </c>
      <c r="O36" s="1453">
        <f t="shared" si="237"/>
        <v>178000</v>
      </c>
      <c r="P36" s="1453">
        <f t="shared" si="237"/>
        <v>0</v>
      </c>
      <c r="Q36" s="1453">
        <f t="shared" si="237"/>
        <v>0</v>
      </c>
      <c r="R36" s="1453">
        <f t="shared" si="237"/>
        <v>0</v>
      </c>
      <c r="S36" s="1453">
        <f t="shared" si="237"/>
        <v>119995.15400000001</v>
      </c>
      <c r="T36" s="1453">
        <f t="shared" si="237"/>
        <v>0</v>
      </c>
      <c r="U36" s="1453">
        <f t="shared" si="237"/>
        <v>0</v>
      </c>
      <c r="V36" s="1453">
        <f t="shared" si="237"/>
        <v>0</v>
      </c>
      <c r="W36" s="1453">
        <f t="shared" si="237"/>
        <v>0</v>
      </c>
      <c r="X36" s="1453">
        <f t="shared" si="237"/>
        <v>0</v>
      </c>
      <c r="Y36" s="1453">
        <f t="shared" si="237"/>
        <v>0</v>
      </c>
      <c r="Z36" s="1453">
        <f t="shared" si="237"/>
        <v>54000</v>
      </c>
      <c r="AA36" s="1453">
        <f t="shared" si="237"/>
        <v>0</v>
      </c>
      <c r="AB36" s="1453">
        <f t="shared" si="237"/>
        <v>0</v>
      </c>
      <c r="AC36" s="1453">
        <f t="shared" si="237"/>
        <v>65995.15400000001</v>
      </c>
      <c r="AD36" s="1453">
        <f t="shared" si="237"/>
        <v>0</v>
      </c>
      <c r="AE36" s="1453">
        <f t="shared" si="237"/>
        <v>0</v>
      </c>
      <c r="AF36" s="1453">
        <f t="shared" si="237"/>
        <v>0</v>
      </c>
      <c r="AG36" s="1453">
        <f t="shared" si="237"/>
        <v>166004.84599999999</v>
      </c>
      <c r="AH36" s="1453">
        <f t="shared" si="237"/>
        <v>0</v>
      </c>
      <c r="AI36" s="1453">
        <f t="shared" si="237"/>
        <v>0</v>
      </c>
      <c r="AJ36" s="1453">
        <f t="shared" si="237"/>
        <v>0</v>
      </c>
      <c r="AK36" s="1453">
        <f t="shared" si="237"/>
        <v>0</v>
      </c>
      <c r="AL36" s="1453">
        <f t="shared" si="237"/>
        <v>0</v>
      </c>
      <c r="AM36" s="1453">
        <f t="shared" si="237"/>
        <v>0</v>
      </c>
      <c r="AN36" s="1453">
        <f t="shared" si="237"/>
        <v>0</v>
      </c>
      <c r="AO36" s="1453">
        <f t="shared" si="237"/>
        <v>0</v>
      </c>
      <c r="AP36" s="1453">
        <f t="shared" si="237"/>
        <v>0</v>
      </c>
      <c r="AQ36" s="1453">
        <f t="shared" si="237"/>
        <v>166004.84599999999</v>
      </c>
      <c r="AR36" s="1453">
        <f t="shared" si="237"/>
        <v>0</v>
      </c>
      <c r="AS36" s="1340"/>
      <c r="AT36" s="1341"/>
      <c r="AU36" s="1341"/>
      <c r="AV36" s="1341"/>
      <c r="AW36" s="1341"/>
      <c r="AX36" s="1341"/>
      <c r="AY36" s="1341"/>
      <c r="AZ36" s="1341"/>
      <c r="BA36" s="1341"/>
      <c r="BB36" s="1341"/>
      <c r="BC36" s="1341"/>
      <c r="BD36" s="1341"/>
      <c r="BE36" s="1341"/>
      <c r="BF36" s="1341"/>
      <c r="BG36" s="1341"/>
      <c r="BH36" s="1341"/>
      <c r="BI36" s="1341"/>
      <c r="BJ36" s="1341"/>
      <c r="BK36" s="1341"/>
      <c r="BL36" s="1341"/>
      <c r="BM36" s="1341"/>
      <c r="BN36" s="1341"/>
      <c r="BO36" s="1341"/>
      <c r="BP36" s="1341"/>
      <c r="BQ36" s="1341"/>
    </row>
    <row r="37" spans="1:69" s="1342" customFormat="1" ht="21.75" customHeight="1" x14ac:dyDescent="0.25">
      <c r="A37" s="1339" t="s">
        <v>25</v>
      </c>
      <c r="B37" s="1338" t="s">
        <v>751</v>
      </c>
      <c r="C37" s="1453">
        <f t="shared" ref="C37:R38" si="238">C41+C45+C49+C53+C57+C61</f>
        <v>20000</v>
      </c>
      <c r="D37" s="1453">
        <f t="shared" si="238"/>
        <v>0</v>
      </c>
      <c r="E37" s="1453">
        <f t="shared" si="238"/>
        <v>0</v>
      </c>
      <c r="F37" s="1453">
        <f t="shared" si="238"/>
        <v>0</v>
      </c>
      <c r="G37" s="1453">
        <f t="shared" si="238"/>
        <v>0</v>
      </c>
      <c r="H37" s="1453">
        <f t="shared" si="238"/>
        <v>0</v>
      </c>
      <c r="I37" s="1453">
        <f t="shared" si="238"/>
        <v>0</v>
      </c>
      <c r="J37" s="1453">
        <f t="shared" si="238"/>
        <v>20000</v>
      </c>
      <c r="K37" s="1453">
        <f t="shared" si="238"/>
        <v>0</v>
      </c>
      <c r="L37" s="1453">
        <f t="shared" si="238"/>
        <v>6000</v>
      </c>
      <c r="M37" s="1453">
        <f t="shared" si="238"/>
        <v>6000</v>
      </c>
      <c r="N37" s="1453">
        <f t="shared" si="238"/>
        <v>0</v>
      </c>
      <c r="O37" s="1453">
        <f t="shared" si="238"/>
        <v>6000</v>
      </c>
      <c r="P37" s="1453">
        <f t="shared" si="238"/>
        <v>0</v>
      </c>
      <c r="Q37" s="1453">
        <f t="shared" si="238"/>
        <v>0</v>
      </c>
      <c r="R37" s="1453">
        <f t="shared" si="238"/>
        <v>0</v>
      </c>
      <c r="S37" s="1453">
        <f t="shared" si="237"/>
        <v>7964.8950000000004</v>
      </c>
      <c r="T37" s="1453">
        <f t="shared" si="237"/>
        <v>0</v>
      </c>
      <c r="U37" s="1453">
        <f t="shared" si="237"/>
        <v>0</v>
      </c>
      <c r="V37" s="1453">
        <f t="shared" si="237"/>
        <v>0</v>
      </c>
      <c r="W37" s="1453">
        <f t="shared" si="237"/>
        <v>0</v>
      </c>
      <c r="X37" s="1453">
        <f t="shared" si="237"/>
        <v>0</v>
      </c>
      <c r="Y37" s="1453">
        <f t="shared" si="237"/>
        <v>0</v>
      </c>
      <c r="Z37" s="1453">
        <f t="shared" si="237"/>
        <v>6964.8950000000004</v>
      </c>
      <c r="AA37" s="1453">
        <f t="shared" si="237"/>
        <v>0</v>
      </c>
      <c r="AB37" s="1453">
        <f t="shared" si="237"/>
        <v>0</v>
      </c>
      <c r="AC37" s="1453">
        <f t="shared" si="237"/>
        <v>1000</v>
      </c>
      <c r="AD37" s="1453">
        <f t="shared" si="237"/>
        <v>0</v>
      </c>
      <c r="AE37" s="1453">
        <f t="shared" si="237"/>
        <v>0</v>
      </c>
      <c r="AF37" s="1453">
        <f t="shared" si="237"/>
        <v>0</v>
      </c>
      <c r="AG37" s="1453">
        <f t="shared" si="237"/>
        <v>38035.104999999996</v>
      </c>
      <c r="AH37" s="1453">
        <f t="shared" si="237"/>
        <v>0</v>
      </c>
      <c r="AI37" s="1453">
        <f t="shared" si="237"/>
        <v>0</v>
      </c>
      <c r="AJ37" s="1453">
        <f t="shared" si="237"/>
        <v>0</v>
      </c>
      <c r="AK37" s="1453">
        <f t="shared" si="237"/>
        <v>0</v>
      </c>
      <c r="AL37" s="1453">
        <f t="shared" si="237"/>
        <v>0</v>
      </c>
      <c r="AM37" s="1453">
        <f t="shared" si="237"/>
        <v>0</v>
      </c>
      <c r="AN37" s="1453">
        <f t="shared" si="237"/>
        <v>0</v>
      </c>
      <c r="AO37" s="1453">
        <f t="shared" si="237"/>
        <v>0</v>
      </c>
      <c r="AP37" s="1453">
        <f t="shared" si="237"/>
        <v>13035.105</v>
      </c>
      <c r="AQ37" s="1453">
        <f t="shared" si="237"/>
        <v>25000</v>
      </c>
      <c r="AR37" s="1453">
        <f t="shared" si="237"/>
        <v>0</v>
      </c>
      <c r="AS37" s="1340"/>
      <c r="AT37" s="1341"/>
      <c r="AU37" s="1341"/>
      <c r="AV37" s="1341"/>
      <c r="AW37" s="1341"/>
      <c r="AX37" s="1341"/>
      <c r="AY37" s="1341"/>
      <c r="AZ37" s="1341"/>
      <c r="BA37" s="1341"/>
      <c r="BB37" s="1341"/>
      <c r="BC37" s="1341"/>
      <c r="BD37" s="1341"/>
      <c r="BE37" s="1341"/>
      <c r="BF37" s="1341"/>
      <c r="BG37" s="1341"/>
      <c r="BH37" s="1341"/>
      <c r="BI37" s="1341"/>
      <c r="BJ37" s="1341"/>
      <c r="BK37" s="1341"/>
      <c r="BL37" s="1341"/>
      <c r="BM37" s="1341"/>
      <c r="BN37" s="1341"/>
      <c r="BO37" s="1341"/>
      <c r="BP37" s="1341"/>
      <c r="BQ37" s="1341"/>
    </row>
    <row r="38" spans="1:69" s="1342" customFormat="1" x14ac:dyDescent="0.25">
      <c r="A38" s="1339" t="s">
        <v>25</v>
      </c>
      <c r="B38" s="1338" t="s">
        <v>264</v>
      </c>
      <c r="C38" s="1453">
        <f t="shared" si="238"/>
        <v>0</v>
      </c>
      <c r="D38" s="1453">
        <f t="shared" si="237"/>
        <v>0</v>
      </c>
      <c r="E38" s="1453">
        <f t="shared" si="237"/>
        <v>0</v>
      </c>
      <c r="F38" s="1453">
        <f t="shared" si="237"/>
        <v>0</v>
      </c>
      <c r="G38" s="1453">
        <f t="shared" si="237"/>
        <v>0</v>
      </c>
      <c r="H38" s="1453">
        <f t="shared" si="237"/>
        <v>0</v>
      </c>
      <c r="I38" s="1453">
        <f t="shared" si="237"/>
        <v>0</v>
      </c>
      <c r="J38" s="1453">
        <f t="shared" si="237"/>
        <v>0</v>
      </c>
      <c r="K38" s="1453">
        <f t="shared" si="237"/>
        <v>0</v>
      </c>
      <c r="L38" s="1453">
        <f t="shared" si="237"/>
        <v>0</v>
      </c>
      <c r="M38" s="1453">
        <f t="shared" si="237"/>
        <v>0</v>
      </c>
      <c r="N38" s="1453">
        <f t="shared" si="237"/>
        <v>0</v>
      </c>
      <c r="O38" s="1453">
        <f t="shared" si="237"/>
        <v>0</v>
      </c>
      <c r="P38" s="1453">
        <f t="shared" si="237"/>
        <v>0</v>
      </c>
      <c r="Q38" s="1453">
        <f t="shared" si="237"/>
        <v>0</v>
      </c>
      <c r="R38" s="1453">
        <f t="shared" si="237"/>
        <v>0</v>
      </c>
      <c r="S38" s="1453">
        <f t="shared" si="237"/>
        <v>0</v>
      </c>
      <c r="T38" s="1453">
        <f t="shared" si="237"/>
        <v>0</v>
      </c>
      <c r="U38" s="1453">
        <f t="shared" si="237"/>
        <v>0</v>
      </c>
      <c r="V38" s="1453">
        <f t="shared" si="237"/>
        <v>0</v>
      </c>
      <c r="W38" s="1453">
        <f t="shared" si="237"/>
        <v>0</v>
      </c>
      <c r="X38" s="1453">
        <f t="shared" si="237"/>
        <v>0</v>
      </c>
      <c r="Y38" s="1453">
        <f t="shared" si="237"/>
        <v>0</v>
      </c>
      <c r="Z38" s="1453">
        <f t="shared" si="237"/>
        <v>0</v>
      </c>
      <c r="AA38" s="1453">
        <f t="shared" si="237"/>
        <v>0</v>
      </c>
      <c r="AB38" s="1453">
        <f t="shared" si="237"/>
        <v>0</v>
      </c>
      <c r="AC38" s="1453">
        <f t="shared" si="237"/>
        <v>0</v>
      </c>
      <c r="AD38" s="1453">
        <f t="shared" si="237"/>
        <v>0</v>
      </c>
      <c r="AE38" s="1453">
        <f t="shared" si="237"/>
        <v>0</v>
      </c>
      <c r="AF38" s="1453">
        <f t="shared" si="237"/>
        <v>0</v>
      </c>
      <c r="AG38" s="1453">
        <f t="shared" si="237"/>
        <v>0</v>
      </c>
      <c r="AH38" s="1453">
        <f t="shared" si="237"/>
        <v>0</v>
      </c>
      <c r="AI38" s="1453">
        <f t="shared" si="237"/>
        <v>0</v>
      </c>
      <c r="AJ38" s="1453">
        <f t="shared" si="237"/>
        <v>0</v>
      </c>
      <c r="AK38" s="1453">
        <f t="shared" si="237"/>
        <v>0</v>
      </c>
      <c r="AL38" s="1453">
        <f t="shared" si="237"/>
        <v>0</v>
      </c>
      <c r="AM38" s="1453">
        <f t="shared" si="237"/>
        <v>0</v>
      </c>
      <c r="AN38" s="1453">
        <f t="shared" si="237"/>
        <v>0</v>
      </c>
      <c r="AO38" s="1453">
        <f t="shared" si="237"/>
        <v>0</v>
      </c>
      <c r="AP38" s="1453">
        <f t="shared" si="237"/>
        <v>0</v>
      </c>
      <c r="AQ38" s="1453">
        <f t="shared" si="237"/>
        <v>0</v>
      </c>
      <c r="AR38" s="1453">
        <f t="shared" si="237"/>
        <v>0</v>
      </c>
      <c r="AS38" s="1340"/>
      <c r="AT38" s="1341"/>
      <c r="AU38" s="1341"/>
      <c r="AV38" s="1341"/>
      <c r="AW38" s="1341"/>
      <c r="AX38" s="1341"/>
      <c r="AY38" s="1341"/>
      <c r="AZ38" s="1341"/>
      <c r="BA38" s="1341"/>
      <c r="BB38" s="1341"/>
      <c r="BC38" s="1341"/>
      <c r="BD38" s="1341"/>
      <c r="BE38" s="1341"/>
      <c r="BF38" s="1341"/>
      <c r="BG38" s="1341"/>
      <c r="BH38" s="1341"/>
      <c r="BI38" s="1341"/>
      <c r="BJ38" s="1341"/>
      <c r="BK38" s="1341"/>
      <c r="BL38" s="1341"/>
      <c r="BM38" s="1341"/>
      <c r="BN38" s="1341"/>
      <c r="BO38" s="1341"/>
      <c r="BP38" s="1341"/>
      <c r="BQ38" s="1341"/>
    </row>
    <row r="39" spans="1:69" s="1350" customFormat="1" ht="36.75" customHeight="1" x14ac:dyDescent="0.25">
      <c r="A39" s="1351">
        <v>1</v>
      </c>
      <c r="B39" s="1352" t="s">
        <v>812</v>
      </c>
      <c r="C39" s="1455">
        <f>SUM(C40:C42)</f>
        <v>0</v>
      </c>
      <c r="D39" s="1455">
        <f t="shared" ref="D39" si="239">SUM(D40:D42)</f>
        <v>0</v>
      </c>
      <c r="E39" s="1455">
        <f t="shared" ref="E39" si="240">SUM(E40:E42)</f>
        <v>0</v>
      </c>
      <c r="F39" s="1455">
        <f t="shared" ref="F39" si="241">SUM(F40:F42)</f>
        <v>0</v>
      </c>
      <c r="G39" s="1455">
        <f t="shared" ref="G39" si="242">SUM(G40:G42)</f>
        <v>0</v>
      </c>
      <c r="H39" s="1455">
        <f t="shared" ref="H39" si="243">SUM(H40:H42)</f>
        <v>0</v>
      </c>
      <c r="I39" s="1455">
        <f t="shared" ref="I39" si="244">SUM(I40:I42)</f>
        <v>0</v>
      </c>
      <c r="J39" s="1455">
        <f t="shared" ref="J39" si="245">SUM(J40:J42)</f>
        <v>0</v>
      </c>
      <c r="K39" s="1455">
        <f t="shared" ref="K39" si="246">SUM(K40:K42)</f>
        <v>0</v>
      </c>
      <c r="L39" s="1455">
        <f t="shared" ref="L39" si="247">SUM(L40:L42)</f>
        <v>7000</v>
      </c>
      <c r="M39" s="1455">
        <f t="shared" ref="M39" si="248">SUM(M40:M42)</f>
        <v>7000</v>
      </c>
      <c r="N39" s="1455">
        <f t="shared" ref="N39" si="249">SUM(N40:N42)</f>
        <v>0</v>
      </c>
      <c r="O39" s="1455">
        <f t="shared" ref="O39" si="250">SUM(O40:O42)</f>
        <v>7000</v>
      </c>
      <c r="P39" s="1455">
        <f t="shared" ref="P39" si="251">SUM(P40:P42)</f>
        <v>0</v>
      </c>
      <c r="Q39" s="1455">
        <f t="shared" ref="Q39" si="252">SUM(Q40:Q42)</f>
        <v>0</v>
      </c>
      <c r="R39" s="1455">
        <f t="shared" ref="R39" si="253">SUM(R40:R42)</f>
        <v>0</v>
      </c>
      <c r="S39" s="1455">
        <f t="shared" ref="S39" si="254">SUM(S40:S42)</f>
        <v>0</v>
      </c>
      <c r="T39" s="1455">
        <f t="shared" ref="T39" si="255">SUM(T40:T42)</f>
        <v>0</v>
      </c>
      <c r="U39" s="1455">
        <f t="shared" ref="U39" si="256">SUM(U40:U42)</f>
        <v>0</v>
      </c>
      <c r="V39" s="1455">
        <f t="shared" ref="V39" si="257">SUM(V40:V42)</f>
        <v>0</v>
      </c>
      <c r="W39" s="1455">
        <f t="shared" ref="W39" si="258">SUM(W40:W42)</f>
        <v>0</v>
      </c>
      <c r="X39" s="1455">
        <f t="shared" ref="X39" si="259">SUM(X40:X42)</f>
        <v>0</v>
      </c>
      <c r="Y39" s="1455">
        <f t="shared" ref="Y39" si="260">SUM(Y40:Y42)</f>
        <v>0</v>
      </c>
      <c r="Z39" s="1455">
        <f t="shared" ref="Z39" si="261">SUM(Z40:Z42)</f>
        <v>0</v>
      </c>
      <c r="AA39" s="1455">
        <f t="shared" ref="AA39" si="262">SUM(AA40:AA42)</f>
        <v>0</v>
      </c>
      <c r="AB39" s="1455">
        <f t="shared" ref="AB39" si="263">SUM(AB40:AB42)</f>
        <v>0</v>
      </c>
      <c r="AC39" s="1455">
        <f t="shared" ref="AC39" si="264">SUM(AC40:AC42)</f>
        <v>0</v>
      </c>
      <c r="AD39" s="1455">
        <f t="shared" ref="AD39" si="265">SUM(AD40:AD42)</f>
        <v>0</v>
      </c>
      <c r="AE39" s="1455">
        <f t="shared" ref="AE39" si="266">SUM(AE40:AE42)</f>
        <v>0</v>
      </c>
      <c r="AF39" s="1455">
        <f t="shared" ref="AF39" si="267">SUM(AF40:AF42)</f>
        <v>0</v>
      </c>
      <c r="AG39" s="1455">
        <f t="shared" ref="AG39" si="268">SUM(AG40:AG42)</f>
        <v>7000</v>
      </c>
      <c r="AH39" s="1455">
        <f t="shared" ref="AH39" si="269">SUM(AH40:AH42)</f>
        <v>0</v>
      </c>
      <c r="AI39" s="1455">
        <f t="shared" ref="AI39" si="270">SUM(AI40:AI42)</f>
        <v>0</v>
      </c>
      <c r="AJ39" s="1455">
        <f t="shared" ref="AJ39" si="271">SUM(AJ40:AJ42)</f>
        <v>0</v>
      </c>
      <c r="AK39" s="1455">
        <f t="shared" ref="AK39" si="272">SUM(AK40:AK42)</f>
        <v>0</v>
      </c>
      <c r="AL39" s="1455">
        <f t="shared" ref="AL39" si="273">SUM(AL40:AL42)</f>
        <v>0</v>
      </c>
      <c r="AM39" s="1455">
        <f t="shared" ref="AM39" si="274">SUM(AM40:AM42)</f>
        <v>0</v>
      </c>
      <c r="AN39" s="1455">
        <f t="shared" ref="AN39" si="275">SUM(AN40:AN42)</f>
        <v>0</v>
      </c>
      <c r="AO39" s="1455">
        <f t="shared" ref="AO39" si="276">SUM(AO40:AO42)</f>
        <v>0</v>
      </c>
      <c r="AP39" s="1455">
        <f t="shared" ref="AP39" si="277">SUM(AP40:AP42)</f>
        <v>0</v>
      </c>
      <c r="AQ39" s="1455">
        <f t="shared" ref="AQ39" si="278">SUM(AQ40:AQ42)</f>
        <v>7000</v>
      </c>
      <c r="AR39" s="1455">
        <f t="shared" ref="AR39" si="279">SUM(AR40:AR42)</f>
        <v>0</v>
      </c>
      <c r="AS39" s="1348"/>
      <c r="AT39" s="1349"/>
      <c r="AU39" s="1349"/>
      <c r="AV39" s="1349"/>
      <c r="AW39" s="1349"/>
      <c r="AX39" s="1349"/>
      <c r="AY39" s="1349"/>
      <c r="AZ39" s="1349"/>
      <c r="BA39" s="1349"/>
      <c r="BB39" s="1349"/>
      <c r="BC39" s="1349"/>
      <c r="BD39" s="1349"/>
      <c r="BE39" s="1349"/>
      <c r="BF39" s="1349"/>
      <c r="BG39" s="1349"/>
      <c r="BH39" s="1349"/>
      <c r="BI39" s="1349"/>
      <c r="BJ39" s="1349"/>
      <c r="BK39" s="1349"/>
      <c r="BL39" s="1349"/>
      <c r="BM39" s="1349"/>
      <c r="BN39" s="1349"/>
      <c r="BO39" s="1349"/>
      <c r="BP39" s="1349"/>
      <c r="BQ39" s="1349"/>
    </row>
    <row r="40" spans="1:69" s="1342" customFormat="1" ht="21.75" customHeight="1" x14ac:dyDescent="0.25">
      <c r="A40" s="1339" t="s">
        <v>25</v>
      </c>
      <c r="B40" s="1338" t="s">
        <v>750</v>
      </c>
      <c r="C40" s="1453"/>
      <c r="D40" s="1453"/>
      <c r="E40" s="1453"/>
      <c r="F40" s="1453"/>
      <c r="G40" s="1453"/>
      <c r="H40" s="1453"/>
      <c r="I40" s="1453"/>
      <c r="J40" s="1453"/>
      <c r="K40" s="1453"/>
      <c r="L40" s="1453">
        <f t="shared" ref="L40:L42" si="280">M40+P40</f>
        <v>7000</v>
      </c>
      <c r="M40" s="1453">
        <f>N40+O40</f>
        <v>7000</v>
      </c>
      <c r="N40" s="1453"/>
      <c r="O40" s="1453">
        <v>7000</v>
      </c>
      <c r="P40" s="1453"/>
      <c r="Q40" s="1453"/>
      <c r="R40" s="1453"/>
      <c r="S40" s="1453">
        <f>SUM(T40:AC40)</f>
        <v>0</v>
      </c>
      <c r="T40" s="1453"/>
      <c r="U40" s="1453"/>
      <c r="V40" s="1453"/>
      <c r="W40" s="1453"/>
      <c r="X40" s="1453"/>
      <c r="Y40" s="1453"/>
      <c r="Z40" s="1453"/>
      <c r="AA40" s="1453"/>
      <c r="AB40" s="1453"/>
      <c r="AC40" s="1453"/>
      <c r="AD40" s="1453"/>
      <c r="AE40" s="1453"/>
      <c r="AF40" s="1453"/>
      <c r="AG40" s="1453">
        <f>SUM(AH40:AQ40)</f>
        <v>7000</v>
      </c>
      <c r="AH40" s="1453"/>
      <c r="AI40" s="1453"/>
      <c r="AJ40" s="1453"/>
      <c r="AK40" s="1453"/>
      <c r="AL40" s="1453"/>
      <c r="AM40" s="1453"/>
      <c r="AN40" s="1453"/>
      <c r="AO40" s="1453"/>
      <c r="AP40" s="1453"/>
      <c r="AQ40" s="1453">
        <f>O40+R40-AC40</f>
        <v>7000</v>
      </c>
      <c r="AR40" s="1453"/>
      <c r="AS40" s="1340"/>
      <c r="AT40" s="1341"/>
      <c r="AU40" s="1341"/>
      <c r="AV40" s="1341"/>
      <c r="AW40" s="1341"/>
      <c r="AX40" s="1341"/>
      <c r="AY40" s="1341"/>
      <c r="AZ40" s="1341"/>
      <c r="BA40" s="1341"/>
      <c r="BB40" s="1341"/>
      <c r="BC40" s="1341"/>
      <c r="BD40" s="1341"/>
      <c r="BE40" s="1341"/>
      <c r="BF40" s="1341"/>
      <c r="BG40" s="1341"/>
      <c r="BH40" s="1341"/>
      <c r="BI40" s="1341"/>
      <c r="BJ40" s="1341"/>
      <c r="BK40" s="1341"/>
      <c r="BL40" s="1341"/>
      <c r="BM40" s="1341"/>
      <c r="BN40" s="1341"/>
      <c r="BO40" s="1341"/>
      <c r="BP40" s="1341"/>
      <c r="BQ40" s="1341"/>
    </row>
    <row r="41" spans="1:69" s="1342" customFormat="1" ht="21.75" customHeight="1" x14ac:dyDescent="0.25">
      <c r="A41" s="1339" t="s">
        <v>25</v>
      </c>
      <c r="B41" s="1338" t="s">
        <v>751</v>
      </c>
      <c r="C41" s="1453"/>
      <c r="D41" s="1453"/>
      <c r="E41" s="1453"/>
      <c r="F41" s="1453"/>
      <c r="G41" s="1453"/>
      <c r="H41" s="1453"/>
      <c r="I41" s="1453"/>
      <c r="J41" s="1453"/>
      <c r="K41" s="1453"/>
      <c r="L41" s="1453">
        <f t="shared" si="280"/>
        <v>0</v>
      </c>
      <c r="M41" s="1453">
        <f t="shared" ref="M41:M42" si="281">N41+O41</f>
        <v>0</v>
      </c>
      <c r="N41" s="1453"/>
      <c r="O41" s="1453"/>
      <c r="P41" s="1453"/>
      <c r="Q41" s="1453"/>
      <c r="R41" s="1453"/>
      <c r="S41" s="1453">
        <f t="shared" ref="S41:S42" si="282">SUM(T41:AC41)</f>
        <v>0</v>
      </c>
      <c r="T41" s="1453"/>
      <c r="U41" s="1453"/>
      <c r="V41" s="1453"/>
      <c r="W41" s="1453"/>
      <c r="X41" s="1453"/>
      <c r="Y41" s="1453"/>
      <c r="Z41" s="1453"/>
      <c r="AA41" s="1453"/>
      <c r="AB41" s="1453"/>
      <c r="AC41" s="1453"/>
      <c r="AD41" s="1453"/>
      <c r="AE41" s="1453"/>
      <c r="AF41" s="1453"/>
      <c r="AG41" s="1453">
        <f t="shared" ref="AG41:AG42" si="283">SUM(AH41:AQ41)</f>
        <v>0</v>
      </c>
      <c r="AH41" s="1453"/>
      <c r="AI41" s="1453"/>
      <c r="AJ41" s="1453"/>
      <c r="AK41" s="1453"/>
      <c r="AL41" s="1453"/>
      <c r="AM41" s="1453"/>
      <c r="AN41" s="1453"/>
      <c r="AO41" s="1453"/>
      <c r="AP41" s="1453"/>
      <c r="AQ41" s="1453">
        <f t="shared" ref="AQ41:AQ42" si="284">O41+R41-AC41</f>
        <v>0</v>
      </c>
      <c r="AR41" s="1453"/>
      <c r="AS41" s="1340"/>
      <c r="AT41" s="1341"/>
      <c r="AU41" s="1341"/>
      <c r="AV41" s="1341"/>
      <c r="AW41" s="1341"/>
      <c r="AX41" s="1341"/>
      <c r="AY41" s="1341"/>
      <c r="AZ41" s="1341"/>
      <c r="BA41" s="1341"/>
      <c r="BB41" s="1341"/>
      <c r="BC41" s="1341"/>
      <c r="BD41" s="1341"/>
      <c r="BE41" s="1341"/>
      <c r="BF41" s="1341"/>
      <c r="BG41" s="1341"/>
      <c r="BH41" s="1341"/>
      <c r="BI41" s="1341"/>
      <c r="BJ41" s="1341"/>
      <c r="BK41" s="1341"/>
      <c r="BL41" s="1341"/>
      <c r="BM41" s="1341"/>
      <c r="BN41" s="1341"/>
      <c r="BO41" s="1341"/>
      <c r="BP41" s="1341"/>
      <c r="BQ41" s="1341"/>
    </row>
    <row r="42" spans="1:69" s="1342" customFormat="1" x14ac:dyDescent="0.25">
      <c r="A42" s="1339" t="s">
        <v>25</v>
      </c>
      <c r="B42" s="1338" t="s">
        <v>264</v>
      </c>
      <c r="C42" s="1453"/>
      <c r="D42" s="1453"/>
      <c r="E42" s="1453"/>
      <c r="F42" s="1453"/>
      <c r="G42" s="1453"/>
      <c r="H42" s="1453"/>
      <c r="I42" s="1453"/>
      <c r="J42" s="1453"/>
      <c r="K42" s="1453"/>
      <c r="L42" s="1453">
        <f t="shared" si="280"/>
        <v>0</v>
      </c>
      <c r="M42" s="1453">
        <f t="shared" si="281"/>
        <v>0</v>
      </c>
      <c r="N42" s="1453"/>
      <c r="O42" s="1453"/>
      <c r="P42" s="1453"/>
      <c r="Q42" s="1453"/>
      <c r="R42" s="1453"/>
      <c r="S42" s="1453">
        <f t="shared" si="282"/>
        <v>0</v>
      </c>
      <c r="T42" s="1453"/>
      <c r="U42" s="1453"/>
      <c r="V42" s="1453"/>
      <c r="W42" s="1453"/>
      <c r="X42" s="1453"/>
      <c r="Y42" s="1453"/>
      <c r="Z42" s="1453"/>
      <c r="AA42" s="1453"/>
      <c r="AB42" s="1453"/>
      <c r="AC42" s="1453"/>
      <c r="AD42" s="1453"/>
      <c r="AE42" s="1453"/>
      <c r="AF42" s="1453"/>
      <c r="AG42" s="1453">
        <f t="shared" si="283"/>
        <v>0</v>
      </c>
      <c r="AH42" s="1453"/>
      <c r="AI42" s="1453"/>
      <c r="AJ42" s="1453"/>
      <c r="AK42" s="1453"/>
      <c r="AL42" s="1453"/>
      <c r="AM42" s="1453"/>
      <c r="AN42" s="1453"/>
      <c r="AO42" s="1453"/>
      <c r="AP42" s="1453"/>
      <c r="AQ42" s="1453">
        <f t="shared" si="284"/>
        <v>0</v>
      </c>
      <c r="AR42" s="1453"/>
      <c r="AS42" s="1340"/>
      <c r="AT42" s="1341"/>
      <c r="AU42" s="1341"/>
      <c r="AV42" s="1341"/>
      <c r="AW42" s="1341"/>
      <c r="AX42" s="1341"/>
      <c r="AY42" s="1341"/>
      <c r="AZ42" s="1341"/>
      <c r="BA42" s="1341"/>
      <c r="BB42" s="1341"/>
      <c r="BC42" s="1341"/>
      <c r="BD42" s="1341"/>
      <c r="BE42" s="1341"/>
      <c r="BF42" s="1341"/>
      <c r="BG42" s="1341"/>
      <c r="BH42" s="1341"/>
      <c r="BI42" s="1341"/>
      <c r="BJ42" s="1341"/>
      <c r="BK42" s="1341"/>
      <c r="BL42" s="1341"/>
      <c r="BM42" s="1341"/>
      <c r="BN42" s="1341"/>
      <c r="BO42" s="1341"/>
      <c r="BP42" s="1341"/>
      <c r="BQ42" s="1341"/>
    </row>
    <row r="43" spans="1:69" s="1350" customFormat="1" ht="78.75" x14ac:dyDescent="0.25">
      <c r="A43" s="1351">
        <v>2</v>
      </c>
      <c r="B43" s="1352" t="s">
        <v>813</v>
      </c>
      <c r="C43" s="1455">
        <f>SUM(C44:C46)</f>
        <v>74000</v>
      </c>
      <c r="D43" s="1455">
        <f t="shared" ref="D43" si="285">SUM(D44:D46)</f>
        <v>0</v>
      </c>
      <c r="E43" s="1455">
        <f t="shared" ref="E43" si="286">SUM(E44:E46)</f>
        <v>0</v>
      </c>
      <c r="F43" s="1455">
        <f t="shared" ref="F43" si="287">SUM(F44:F46)</f>
        <v>0</v>
      </c>
      <c r="G43" s="1455">
        <f t="shared" ref="G43" si="288">SUM(G44:G46)</f>
        <v>0</v>
      </c>
      <c r="H43" s="1455">
        <f t="shared" ref="H43" si="289">SUM(H44:H46)</f>
        <v>0</v>
      </c>
      <c r="I43" s="1455">
        <f t="shared" ref="I43" si="290">SUM(I44:I46)</f>
        <v>0</v>
      </c>
      <c r="J43" s="1455">
        <f t="shared" ref="J43" si="291">SUM(J44:J46)</f>
        <v>74000</v>
      </c>
      <c r="K43" s="1455">
        <f t="shared" ref="K43" si="292">SUM(K44:K46)</f>
        <v>0</v>
      </c>
      <c r="L43" s="1455">
        <f t="shared" ref="L43" si="293">SUM(L44:L46)</f>
        <v>85000</v>
      </c>
      <c r="M43" s="1455">
        <f t="shared" ref="M43" si="294">SUM(M44:M46)</f>
        <v>85000</v>
      </c>
      <c r="N43" s="1455">
        <f t="shared" ref="N43" si="295">SUM(N44:N46)</f>
        <v>0</v>
      </c>
      <c r="O43" s="1455">
        <f t="shared" ref="O43" si="296">SUM(O44:O46)</f>
        <v>85000</v>
      </c>
      <c r="P43" s="1455">
        <f t="shared" ref="P43" si="297">SUM(P44:P46)</f>
        <v>0</v>
      </c>
      <c r="Q43" s="1455">
        <f t="shared" ref="Q43" si="298">SUM(Q44:Q46)</f>
        <v>0</v>
      </c>
      <c r="R43" s="1455">
        <f t="shared" ref="R43" si="299">SUM(R44:R46)</f>
        <v>0</v>
      </c>
      <c r="S43" s="1455">
        <f t="shared" ref="S43" si="300">SUM(S44:S46)</f>
        <v>60964.895000000004</v>
      </c>
      <c r="T43" s="1455">
        <f t="shared" ref="T43" si="301">SUM(T44:T46)</f>
        <v>0</v>
      </c>
      <c r="U43" s="1455">
        <f t="shared" ref="U43" si="302">SUM(U44:U46)</f>
        <v>0</v>
      </c>
      <c r="V43" s="1455">
        <f t="shared" ref="V43" si="303">SUM(V44:V46)</f>
        <v>0</v>
      </c>
      <c r="W43" s="1455">
        <f t="shared" ref="W43" si="304">SUM(W44:W46)</f>
        <v>0</v>
      </c>
      <c r="X43" s="1455">
        <f t="shared" ref="X43" si="305">SUM(X44:X46)</f>
        <v>0</v>
      </c>
      <c r="Y43" s="1455">
        <f t="shared" ref="Y43" si="306">SUM(Y44:Y46)</f>
        <v>0</v>
      </c>
      <c r="Z43" s="1455">
        <f t="shared" ref="Z43" si="307">SUM(Z44:Z46)</f>
        <v>60964.895000000004</v>
      </c>
      <c r="AA43" s="1455">
        <f t="shared" ref="AA43" si="308">SUM(AA44:AA46)</f>
        <v>0</v>
      </c>
      <c r="AB43" s="1455">
        <f t="shared" ref="AB43" si="309">SUM(AB44:AB46)</f>
        <v>0</v>
      </c>
      <c r="AC43" s="1455">
        <f t="shared" ref="AC43" si="310">SUM(AC44:AC46)</f>
        <v>0</v>
      </c>
      <c r="AD43" s="1455">
        <f t="shared" ref="AD43" si="311">SUM(AD44:AD46)</f>
        <v>0</v>
      </c>
      <c r="AE43" s="1455">
        <f t="shared" ref="AE43" si="312">SUM(AE44:AE46)</f>
        <v>0</v>
      </c>
      <c r="AF43" s="1455">
        <f t="shared" ref="AF43" si="313">SUM(AF44:AF46)</f>
        <v>0</v>
      </c>
      <c r="AG43" s="1455">
        <f t="shared" ref="AG43" si="314">SUM(AG44:AG46)</f>
        <v>172035.10499999998</v>
      </c>
      <c r="AH43" s="1455">
        <f t="shared" ref="AH43" si="315">SUM(AH44:AH46)</f>
        <v>0</v>
      </c>
      <c r="AI43" s="1455">
        <f t="shared" ref="AI43" si="316">SUM(AI44:AI46)</f>
        <v>0</v>
      </c>
      <c r="AJ43" s="1455">
        <f t="shared" ref="AJ43" si="317">SUM(AJ44:AJ46)</f>
        <v>0</v>
      </c>
      <c r="AK43" s="1455">
        <f t="shared" ref="AK43" si="318">SUM(AK44:AK46)</f>
        <v>0</v>
      </c>
      <c r="AL43" s="1455">
        <f t="shared" ref="AL43" si="319">SUM(AL44:AL46)</f>
        <v>0</v>
      </c>
      <c r="AM43" s="1455">
        <f t="shared" ref="AM43" si="320">SUM(AM44:AM46)</f>
        <v>0</v>
      </c>
      <c r="AN43" s="1455">
        <f t="shared" ref="AN43" si="321">SUM(AN44:AN46)</f>
        <v>0</v>
      </c>
      <c r="AO43" s="1455">
        <f t="shared" ref="AO43" si="322">SUM(AO44:AO46)</f>
        <v>0</v>
      </c>
      <c r="AP43" s="1455">
        <f t="shared" ref="AP43" si="323">SUM(AP44:AP46)</f>
        <v>13035.105</v>
      </c>
      <c r="AQ43" s="1455">
        <f t="shared" ref="AQ43" si="324">SUM(AQ44:AQ46)</f>
        <v>159000</v>
      </c>
      <c r="AR43" s="1455">
        <f t="shared" ref="AR43" si="325">SUM(AR44:AR46)</f>
        <v>0</v>
      </c>
      <c r="AS43" s="1348"/>
      <c r="AT43" s="1349"/>
      <c r="AU43" s="1349"/>
      <c r="AV43" s="1349"/>
      <c r="AW43" s="1349"/>
      <c r="AX43" s="1349"/>
      <c r="AY43" s="1349"/>
      <c r="AZ43" s="1349"/>
      <c r="BA43" s="1349"/>
      <c r="BB43" s="1349"/>
      <c r="BC43" s="1349"/>
      <c r="BD43" s="1349"/>
      <c r="BE43" s="1349"/>
      <c r="BF43" s="1349"/>
      <c r="BG43" s="1349"/>
      <c r="BH43" s="1349"/>
      <c r="BI43" s="1349"/>
      <c r="BJ43" s="1349"/>
      <c r="BK43" s="1349"/>
      <c r="BL43" s="1349"/>
      <c r="BM43" s="1349"/>
      <c r="BN43" s="1349"/>
      <c r="BO43" s="1349"/>
      <c r="BP43" s="1349"/>
      <c r="BQ43" s="1349"/>
    </row>
    <row r="44" spans="1:69" s="1342" customFormat="1" ht="21.75" customHeight="1" x14ac:dyDescent="0.25">
      <c r="A44" s="1339" t="s">
        <v>25</v>
      </c>
      <c r="B44" s="1338" t="s">
        <v>750</v>
      </c>
      <c r="C44" s="1453">
        <f>SUM(D44:K44)</f>
        <v>54000</v>
      </c>
      <c r="D44" s="1453"/>
      <c r="E44" s="1453"/>
      <c r="F44" s="1453"/>
      <c r="G44" s="1453"/>
      <c r="H44" s="1453"/>
      <c r="I44" s="1453"/>
      <c r="J44" s="1453">
        <v>54000</v>
      </c>
      <c r="K44" s="1453"/>
      <c r="L44" s="1453">
        <f t="shared" ref="L44:L46" si="326">M44+P44</f>
        <v>81000</v>
      </c>
      <c r="M44" s="1453">
        <f>N44+O44</f>
        <v>81000</v>
      </c>
      <c r="N44" s="1453"/>
      <c r="O44" s="1453">
        <v>81000</v>
      </c>
      <c r="P44" s="1453"/>
      <c r="Q44" s="1453"/>
      <c r="R44" s="1453"/>
      <c r="S44" s="1453">
        <f>SUM(T44:AC44)</f>
        <v>54000</v>
      </c>
      <c r="T44" s="1453"/>
      <c r="U44" s="1453"/>
      <c r="V44" s="1453"/>
      <c r="W44" s="1453"/>
      <c r="X44" s="1453"/>
      <c r="Y44" s="1453"/>
      <c r="Z44" s="1453">
        <v>54000</v>
      </c>
      <c r="AA44" s="1453"/>
      <c r="AB44" s="1453"/>
      <c r="AC44" s="1453"/>
      <c r="AD44" s="1453"/>
      <c r="AE44" s="1453"/>
      <c r="AF44" s="1453"/>
      <c r="AG44" s="1453">
        <f>SUM(AH44:AQ44)</f>
        <v>135000</v>
      </c>
      <c r="AH44" s="1453"/>
      <c r="AI44" s="1453"/>
      <c r="AJ44" s="1453"/>
      <c r="AK44" s="1453"/>
      <c r="AL44" s="1453"/>
      <c r="AM44" s="1453"/>
      <c r="AN44" s="1453"/>
      <c r="AO44" s="1453"/>
      <c r="AP44" s="1453">
        <f>C44+N44+Q44-Z44-AB44</f>
        <v>0</v>
      </c>
      <c r="AQ44" s="1453">
        <f>C44+O44+R44-AC44-AA44</f>
        <v>135000</v>
      </c>
      <c r="AR44" s="1453"/>
      <c r="AS44" s="1340"/>
      <c r="AT44" s="1341"/>
      <c r="AU44" s="1341"/>
      <c r="AV44" s="1341"/>
      <c r="AW44" s="1341"/>
      <c r="AX44" s="1341"/>
      <c r="AY44" s="1341"/>
      <c r="AZ44" s="1341"/>
      <c r="BA44" s="1341"/>
      <c r="BB44" s="1341"/>
      <c r="BC44" s="1341"/>
      <c r="BD44" s="1341"/>
      <c r="BE44" s="1341"/>
      <c r="BF44" s="1341"/>
      <c r="BG44" s="1341"/>
      <c r="BH44" s="1341"/>
      <c r="BI44" s="1341"/>
      <c r="BJ44" s="1341"/>
      <c r="BK44" s="1341"/>
      <c r="BL44" s="1341"/>
      <c r="BM44" s="1341"/>
      <c r="BN44" s="1341"/>
      <c r="BO44" s="1341"/>
      <c r="BP44" s="1341"/>
      <c r="BQ44" s="1341"/>
    </row>
    <row r="45" spans="1:69" s="1342" customFormat="1" ht="21.75" customHeight="1" x14ac:dyDescent="0.25">
      <c r="A45" s="1339" t="s">
        <v>25</v>
      </c>
      <c r="B45" s="1338" t="s">
        <v>751</v>
      </c>
      <c r="C45" s="1453">
        <f t="shared" ref="C45:C46" si="327">SUM(D45:K45)</f>
        <v>20000</v>
      </c>
      <c r="D45" s="1453"/>
      <c r="E45" s="1453"/>
      <c r="F45" s="1453"/>
      <c r="G45" s="1453"/>
      <c r="H45" s="1453"/>
      <c r="I45" s="1453"/>
      <c r="J45" s="1453">
        <v>20000</v>
      </c>
      <c r="K45" s="1453"/>
      <c r="L45" s="1453">
        <f t="shared" si="326"/>
        <v>4000</v>
      </c>
      <c r="M45" s="1453">
        <f t="shared" ref="M45:M46" si="328">N45+O45</f>
        <v>4000</v>
      </c>
      <c r="N45" s="1453"/>
      <c r="O45" s="1453">
        <v>4000</v>
      </c>
      <c r="P45" s="1453"/>
      <c r="Q45" s="1453"/>
      <c r="R45" s="1453"/>
      <c r="S45" s="1453">
        <f t="shared" ref="S45:S46" si="329">SUM(T45:AC45)</f>
        <v>6964.8950000000004</v>
      </c>
      <c r="T45" s="1453"/>
      <c r="U45" s="1453"/>
      <c r="V45" s="1453"/>
      <c r="W45" s="1453"/>
      <c r="X45" s="1453"/>
      <c r="Y45" s="1453"/>
      <c r="Z45" s="1453">
        <v>6964.8950000000004</v>
      </c>
      <c r="AA45" s="1453"/>
      <c r="AB45" s="1453"/>
      <c r="AC45" s="1453"/>
      <c r="AD45" s="1453"/>
      <c r="AE45" s="1453"/>
      <c r="AF45" s="1453"/>
      <c r="AG45" s="1453">
        <f t="shared" ref="AG45:AG46" si="330">SUM(AH45:AQ45)</f>
        <v>37035.104999999996</v>
      </c>
      <c r="AH45" s="1453"/>
      <c r="AI45" s="1453"/>
      <c r="AJ45" s="1453"/>
      <c r="AK45" s="1453"/>
      <c r="AL45" s="1453"/>
      <c r="AM45" s="1453"/>
      <c r="AN45" s="1453"/>
      <c r="AO45" s="1453"/>
      <c r="AP45" s="1453">
        <f>C45+N45+Q45-Z45-AB45</f>
        <v>13035.105</v>
      </c>
      <c r="AQ45" s="1453">
        <f>C45+O45+R45-AC45-AA45</f>
        <v>24000</v>
      </c>
      <c r="AR45" s="1453"/>
      <c r="AS45" s="1340"/>
      <c r="AT45" s="1341"/>
      <c r="AU45" s="1341"/>
      <c r="AV45" s="1341"/>
      <c r="AW45" s="1341"/>
      <c r="AX45" s="1341"/>
      <c r="AY45" s="1341"/>
      <c r="AZ45" s="1341"/>
      <c r="BA45" s="1341"/>
      <c r="BB45" s="1341"/>
      <c r="BC45" s="1341"/>
      <c r="BD45" s="1341"/>
      <c r="BE45" s="1341"/>
      <c r="BF45" s="1341"/>
      <c r="BG45" s="1341"/>
      <c r="BH45" s="1341"/>
      <c r="BI45" s="1341"/>
      <c r="BJ45" s="1341"/>
      <c r="BK45" s="1341"/>
      <c r="BL45" s="1341"/>
      <c r="BM45" s="1341"/>
      <c r="BN45" s="1341"/>
      <c r="BO45" s="1341"/>
      <c r="BP45" s="1341"/>
      <c r="BQ45" s="1341"/>
    </row>
    <row r="46" spans="1:69" s="1342" customFormat="1" x14ac:dyDescent="0.25">
      <c r="A46" s="1339" t="s">
        <v>25</v>
      </c>
      <c r="B46" s="1338" t="s">
        <v>264</v>
      </c>
      <c r="C46" s="1453">
        <f t="shared" si="327"/>
        <v>0</v>
      </c>
      <c r="D46" s="1453"/>
      <c r="E46" s="1453"/>
      <c r="F46" s="1453"/>
      <c r="G46" s="1453"/>
      <c r="H46" s="1453"/>
      <c r="I46" s="1453"/>
      <c r="J46" s="1453"/>
      <c r="K46" s="1453"/>
      <c r="L46" s="1453">
        <f t="shared" si="326"/>
        <v>0</v>
      </c>
      <c r="M46" s="1453">
        <f t="shared" si="328"/>
        <v>0</v>
      </c>
      <c r="N46" s="1453"/>
      <c r="O46" s="1453"/>
      <c r="P46" s="1453"/>
      <c r="Q46" s="1453"/>
      <c r="R46" s="1453"/>
      <c r="S46" s="1453">
        <f t="shared" si="329"/>
        <v>0</v>
      </c>
      <c r="T46" s="1453"/>
      <c r="U46" s="1453"/>
      <c r="V46" s="1453"/>
      <c r="W46" s="1453"/>
      <c r="X46" s="1453"/>
      <c r="Y46" s="1453"/>
      <c r="Z46" s="1453"/>
      <c r="AA46" s="1453"/>
      <c r="AB46" s="1453"/>
      <c r="AC46" s="1453"/>
      <c r="AD46" s="1453"/>
      <c r="AE46" s="1453"/>
      <c r="AF46" s="1453"/>
      <c r="AG46" s="1453">
        <f t="shared" si="330"/>
        <v>0</v>
      </c>
      <c r="AH46" s="1453"/>
      <c r="AI46" s="1453"/>
      <c r="AJ46" s="1453"/>
      <c r="AK46" s="1453"/>
      <c r="AL46" s="1453"/>
      <c r="AM46" s="1453"/>
      <c r="AN46" s="1453"/>
      <c r="AO46" s="1453"/>
      <c r="AP46" s="1453"/>
      <c r="AQ46" s="1453">
        <f t="shared" ref="AQ46" si="331">O46+R46-AC46</f>
        <v>0</v>
      </c>
      <c r="AR46" s="1453"/>
      <c r="AS46" s="1340"/>
      <c r="AT46" s="1341"/>
      <c r="AU46" s="1341"/>
      <c r="AV46" s="1341"/>
      <c r="AW46" s="1341"/>
      <c r="AX46" s="1341"/>
      <c r="AY46" s="1341"/>
      <c r="AZ46" s="1341"/>
      <c r="BA46" s="1341"/>
      <c r="BB46" s="1341"/>
      <c r="BC46" s="1341"/>
      <c r="BD46" s="1341"/>
      <c r="BE46" s="1341"/>
      <c r="BF46" s="1341"/>
      <c r="BG46" s="1341"/>
      <c r="BH46" s="1341"/>
      <c r="BI46" s="1341"/>
      <c r="BJ46" s="1341"/>
      <c r="BK46" s="1341"/>
      <c r="BL46" s="1341"/>
      <c r="BM46" s="1341"/>
      <c r="BN46" s="1341"/>
      <c r="BO46" s="1341"/>
      <c r="BP46" s="1341"/>
      <c r="BQ46" s="1341"/>
    </row>
    <row r="47" spans="1:69" s="1350" customFormat="1" ht="63" x14ac:dyDescent="0.25">
      <c r="A47" s="1351">
        <v>3</v>
      </c>
      <c r="B47" s="1352" t="s">
        <v>814</v>
      </c>
      <c r="C47" s="1455">
        <f>SUM(C48:C50)</f>
        <v>0</v>
      </c>
      <c r="D47" s="1455">
        <f t="shared" ref="D47" si="332">SUM(D48:D50)</f>
        <v>0</v>
      </c>
      <c r="E47" s="1455">
        <f t="shared" ref="E47" si="333">SUM(E48:E50)</f>
        <v>0</v>
      </c>
      <c r="F47" s="1455">
        <f t="shared" ref="F47" si="334">SUM(F48:F50)</f>
        <v>0</v>
      </c>
      <c r="G47" s="1455">
        <f t="shared" ref="G47" si="335">SUM(G48:G50)</f>
        <v>0</v>
      </c>
      <c r="H47" s="1455">
        <f t="shared" ref="H47" si="336">SUM(H48:H50)</f>
        <v>0</v>
      </c>
      <c r="I47" s="1455">
        <f t="shared" ref="I47" si="337">SUM(I48:I50)</f>
        <v>0</v>
      </c>
      <c r="J47" s="1455">
        <f t="shared" ref="J47" si="338">SUM(J48:J50)</f>
        <v>0</v>
      </c>
      <c r="K47" s="1455">
        <f t="shared" ref="K47" si="339">SUM(K48:K50)</f>
        <v>0</v>
      </c>
      <c r="L47" s="1455">
        <f t="shared" ref="L47" si="340">SUM(L48:L50)</f>
        <v>5000</v>
      </c>
      <c r="M47" s="1455">
        <f t="shared" ref="M47" si="341">SUM(M48:M50)</f>
        <v>5000</v>
      </c>
      <c r="N47" s="1455">
        <f t="shared" ref="N47" si="342">SUM(N48:N50)</f>
        <v>0</v>
      </c>
      <c r="O47" s="1455">
        <f t="shared" ref="O47" si="343">SUM(O48:O50)</f>
        <v>5000</v>
      </c>
      <c r="P47" s="1455">
        <f t="shared" ref="P47" si="344">SUM(P48:P50)</f>
        <v>0</v>
      </c>
      <c r="Q47" s="1455">
        <f t="shared" ref="Q47" si="345">SUM(Q48:Q50)</f>
        <v>0</v>
      </c>
      <c r="R47" s="1455">
        <f t="shared" ref="R47" si="346">SUM(R48:R50)</f>
        <v>0</v>
      </c>
      <c r="S47" s="1455">
        <f t="shared" ref="S47" si="347">SUM(S48:S50)</f>
        <v>5000</v>
      </c>
      <c r="T47" s="1455">
        <f t="shared" ref="T47" si="348">SUM(T48:T50)</f>
        <v>0</v>
      </c>
      <c r="U47" s="1455">
        <f t="shared" ref="U47" si="349">SUM(U48:U50)</f>
        <v>0</v>
      </c>
      <c r="V47" s="1455">
        <f t="shared" ref="V47" si="350">SUM(V48:V50)</f>
        <v>0</v>
      </c>
      <c r="W47" s="1455">
        <f t="shared" ref="W47" si="351">SUM(W48:W50)</f>
        <v>0</v>
      </c>
      <c r="X47" s="1455">
        <f t="shared" ref="X47" si="352">SUM(X48:X50)</f>
        <v>0</v>
      </c>
      <c r="Y47" s="1455">
        <f t="shared" ref="Y47" si="353">SUM(Y48:Y50)</f>
        <v>0</v>
      </c>
      <c r="Z47" s="1455">
        <f t="shared" ref="Z47" si="354">SUM(Z48:Z50)</f>
        <v>0</v>
      </c>
      <c r="AA47" s="1455">
        <f t="shared" ref="AA47" si="355">SUM(AA48:AA50)</f>
        <v>0</v>
      </c>
      <c r="AB47" s="1455">
        <f t="shared" ref="AB47" si="356">SUM(AB48:AB50)</f>
        <v>0</v>
      </c>
      <c r="AC47" s="1455">
        <f t="shared" ref="AC47" si="357">SUM(AC48:AC50)</f>
        <v>5000</v>
      </c>
      <c r="AD47" s="1455">
        <f t="shared" ref="AD47" si="358">SUM(AD48:AD50)</f>
        <v>0</v>
      </c>
      <c r="AE47" s="1455">
        <f t="shared" ref="AE47" si="359">SUM(AE48:AE50)</f>
        <v>0</v>
      </c>
      <c r="AF47" s="1455">
        <f t="shared" ref="AF47" si="360">SUM(AF48:AF50)</f>
        <v>0</v>
      </c>
      <c r="AG47" s="1455">
        <f t="shared" ref="AG47" si="361">SUM(AG48:AG50)</f>
        <v>0</v>
      </c>
      <c r="AH47" s="1455">
        <f t="shared" ref="AH47" si="362">SUM(AH48:AH50)</f>
        <v>0</v>
      </c>
      <c r="AI47" s="1455">
        <f t="shared" ref="AI47" si="363">SUM(AI48:AI50)</f>
        <v>0</v>
      </c>
      <c r="AJ47" s="1455">
        <f t="shared" ref="AJ47" si="364">SUM(AJ48:AJ50)</f>
        <v>0</v>
      </c>
      <c r="AK47" s="1455">
        <f t="shared" ref="AK47" si="365">SUM(AK48:AK50)</f>
        <v>0</v>
      </c>
      <c r="AL47" s="1455">
        <f t="shared" ref="AL47" si="366">SUM(AL48:AL50)</f>
        <v>0</v>
      </c>
      <c r="AM47" s="1455">
        <f t="shared" ref="AM47" si="367">SUM(AM48:AM50)</f>
        <v>0</v>
      </c>
      <c r="AN47" s="1455">
        <f t="shared" ref="AN47" si="368">SUM(AN48:AN50)</f>
        <v>0</v>
      </c>
      <c r="AO47" s="1455">
        <f t="shared" ref="AO47" si="369">SUM(AO48:AO50)</f>
        <v>0</v>
      </c>
      <c r="AP47" s="1455">
        <f t="shared" ref="AP47" si="370">SUM(AP48:AP50)</f>
        <v>0</v>
      </c>
      <c r="AQ47" s="1455">
        <f t="shared" ref="AQ47" si="371">SUM(AQ48:AQ50)</f>
        <v>0</v>
      </c>
      <c r="AR47" s="1455">
        <f t="shared" ref="AR47" si="372">SUM(AR48:AR50)</f>
        <v>0</v>
      </c>
      <c r="AS47" s="1348"/>
      <c r="AT47" s="1349"/>
      <c r="AU47" s="1349"/>
      <c r="AV47" s="1349"/>
      <c r="AW47" s="1349"/>
      <c r="AX47" s="1349"/>
      <c r="AY47" s="1349"/>
      <c r="AZ47" s="1349"/>
      <c r="BA47" s="1349"/>
      <c r="BB47" s="1349"/>
      <c r="BC47" s="1349"/>
      <c r="BD47" s="1349"/>
      <c r="BE47" s="1349"/>
      <c r="BF47" s="1349"/>
      <c r="BG47" s="1349"/>
      <c r="BH47" s="1349"/>
      <c r="BI47" s="1349"/>
      <c r="BJ47" s="1349"/>
      <c r="BK47" s="1349"/>
      <c r="BL47" s="1349"/>
      <c r="BM47" s="1349"/>
      <c r="BN47" s="1349"/>
      <c r="BO47" s="1349"/>
      <c r="BP47" s="1349"/>
      <c r="BQ47" s="1349"/>
    </row>
    <row r="48" spans="1:69" s="1342" customFormat="1" ht="21.75" customHeight="1" x14ac:dyDescent="0.25">
      <c r="A48" s="1339" t="s">
        <v>25</v>
      </c>
      <c r="B48" s="1338" t="s">
        <v>750</v>
      </c>
      <c r="C48" s="1453"/>
      <c r="D48" s="1453"/>
      <c r="E48" s="1453"/>
      <c r="F48" s="1453"/>
      <c r="G48" s="1453"/>
      <c r="H48" s="1453"/>
      <c r="I48" s="1453"/>
      <c r="J48" s="1453"/>
      <c r="K48" s="1453"/>
      <c r="L48" s="1453">
        <f t="shared" ref="L48:L50" si="373">M48+P48</f>
        <v>5000</v>
      </c>
      <c r="M48" s="1453">
        <f>N48+O48</f>
        <v>5000</v>
      </c>
      <c r="N48" s="1453"/>
      <c r="O48" s="1453">
        <v>5000</v>
      </c>
      <c r="P48" s="1453"/>
      <c r="Q48" s="1453"/>
      <c r="R48" s="1453"/>
      <c r="S48" s="1453">
        <f>SUM(T48:AC48)</f>
        <v>5000</v>
      </c>
      <c r="T48" s="1453"/>
      <c r="U48" s="1453"/>
      <c r="V48" s="1453"/>
      <c r="W48" s="1453"/>
      <c r="X48" s="1453"/>
      <c r="Y48" s="1453"/>
      <c r="Z48" s="1453"/>
      <c r="AA48" s="1453"/>
      <c r="AB48" s="1453"/>
      <c r="AC48" s="1453">
        <v>5000</v>
      </c>
      <c r="AD48" s="1453"/>
      <c r="AE48" s="1453"/>
      <c r="AF48" s="1453"/>
      <c r="AG48" s="1453">
        <f>SUM(AH48:AQ48)</f>
        <v>0</v>
      </c>
      <c r="AH48" s="1453"/>
      <c r="AI48" s="1453"/>
      <c r="AJ48" s="1453"/>
      <c r="AK48" s="1453"/>
      <c r="AL48" s="1453"/>
      <c r="AM48" s="1453"/>
      <c r="AN48" s="1453"/>
      <c r="AO48" s="1453"/>
      <c r="AP48" s="1453"/>
      <c r="AQ48" s="1453">
        <f>O48+R48-AC48</f>
        <v>0</v>
      </c>
      <c r="AR48" s="1453"/>
      <c r="AS48" s="1340"/>
      <c r="AT48" s="1341"/>
      <c r="AU48" s="1341"/>
      <c r="AV48" s="1341"/>
      <c r="AW48" s="1341"/>
      <c r="AX48" s="1341"/>
      <c r="AY48" s="1341"/>
      <c r="AZ48" s="1341"/>
      <c r="BA48" s="1341"/>
      <c r="BB48" s="1341"/>
      <c r="BC48" s="1341"/>
      <c r="BD48" s="1341"/>
      <c r="BE48" s="1341"/>
      <c r="BF48" s="1341"/>
      <c r="BG48" s="1341"/>
      <c r="BH48" s="1341"/>
      <c r="BI48" s="1341"/>
      <c r="BJ48" s="1341"/>
      <c r="BK48" s="1341"/>
      <c r="BL48" s="1341"/>
      <c r="BM48" s="1341"/>
      <c r="BN48" s="1341"/>
      <c r="BO48" s="1341"/>
      <c r="BP48" s="1341"/>
      <c r="BQ48" s="1341"/>
    </row>
    <row r="49" spans="1:69" s="1342" customFormat="1" ht="21.75" customHeight="1" x14ac:dyDescent="0.25">
      <c r="A49" s="1339" t="s">
        <v>25</v>
      </c>
      <c r="B49" s="1338" t="s">
        <v>751</v>
      </c>
      <c r="C49" s="1453"/>
      <c r="D49" s="1453"/>
      <c r="E49" s="1453"/>
      <c r="F49" s="1453"/>
      <c r="G49" s="1453"/>
      <c r="H49" s="1453"/>
      <c r="I49" s="1453"/>
      <c r="J49" s="1453"/>
      <c r="K49" s="1453"/>
      <c r="L49" s="1453">
        <f t="shared" si="373"/>
        <v>0</v>
      </c>
      <c r="M49" s="1453">
        <f t="shared" ref="M49:M50" si="374">N49+O49</f>
        <v>0</v>
      </c>
      <c r="N49" s="1453"/>
      <c r="O49" s="1453"/>
      <c r="P49" s="1453"/>
      <c r="Q49" s="1453"/>
      <c r="R49" s="1453"/>
      <c r="S49" s="1453">
        <f t="shared" ref="S49:S50" si="375">SUM(T49:AC49)</f>
        <v>0</v>
      </c>
      <c r="T49" s="1453"/>
      <c r="U49" s="1453"/>
      <c r="V49" s="1453"/>
      <c r="W49" s="1453"/>
      <c r="X49" s="1453"/>
      <c r="Y49" s="1453"/>
      <c r="Z49" s="1453"/>
      <c r="AA49" s="1453"/>
      <c r="AB49" s="1453"/>
      <c r="AC49" s="1453"/>
      <c r="AD49" s="1453"/>
      <c r="AE49" s="1453"/>
      <c r="AF49" s="1453"/>
      <c r="AG49" s="1453">
        <f t="shared" ref="AG49:AG50" si="376">SUM(AH49:AQ49)</f>
        <v>0</v>
      </c>
      <c r="AH49" s="1453"/>
      <c r="AI49" s="1453"/>
      <c r="AJ49" s="1453"/>
      <c r="AK49" s="1453"/>
      <c r="AL49" s="1453"/>
      <c r="AM49" s="1453"/>
      <c r="AN49" s="1453"/>
      <c r="AO49" s="1453"/>
      <c r="AP49" s="1453"/>
      <c r="AQ49" s="1453">
        <f t="shared" ref="AQ49:AQ50" si="377">O49+R49-AC49</f>
        <v>0</v>
      </c>
      <c r="AR49" s="1453"/>
      <c r="AS49" s="1340"/>
      <c r="AT49" s="1341"/>
      <c r="AU49" s="1341"/>
      <c r="AV49" s="1341"/>
      <c r="AW49" s="1341"/>
      <c r="AX49" s="1341"/>
      <c r="AY49" s="1341"/>
      <c r="AZ49" s="1341"/>
      <c r="BA49" s="1341"/>
      <c r="BB49" s="1341"/>
      <c r="BC49" s="1341"/>
      <c r="BD49" s="1341"/>
      <c r="BE49" s="1341"/>
      <c r="BF49" s="1341"/>
      <c r="BG49" s="1341"/>
      <c r="BH49" s="1341"/>
      <c r="BI49" s="1341"/>
      <c r="BJ49" s="1341"/>
      <c r="BK49" s="1341"/>
      <c r="BL49" s="1341"/>
      <c r="BM49" s="1341"/>
      <c r="BN49" s="1341"/>
      <c r="BO49" s="1341"/>
      <c r="BP49" s="1341"/>
      <c r="BQ49" s="1341"/>
    </row>
    <row r="50" spans="1:69" s="1342" customFormat="1" x14ac:dyDescent="0.25">
      <c r="A50" s="1339" t="s">
        <v>25</v>
      </c>
      <c r="B50" s="1338" t="s">
        <v>264</v>
      </c>
      <c r="C50" s="1453"/>
      <c r="D50" s="1453"/>
      <c r="E50" s="1453"/>
      <c r="F50" s="1453"/>
      <c r="G50" s="1453"/>
      <c r="H50" s="1453"/>
      <c r="I50" s="1453"/>
      <c r="J50" s="1453"/>
      <c r="K50" s="1453"/>
      <c r="L50" s="1453">
        <f t="shared" si="373"/>
        <v>0</v>
      </c>
      <c r="M50" s="1453">
        <f t="shared" si="374"/>
        <v>0</v>
      </c>
      <c r="N50" s="1453"/>
      <c r="O50" s="1453"/>
      <c r="P50" s="1453"/>
      <c r="Q50" s="1453"/>
      <c r="R50" s="1453"/>
      <c r="S50" s="1453">
        <f t="shared" si="375"/>
        <v>0</v>
      </c>
      <c r="T50" s="1453"/>
      <c r="U50" s="1453"/>
      <c r="V50" s="1453"/>
      <c r="W50" s="1453"/>
      <c r="X50" s="1453"/>
      <c r="Y50" s="1453"/>
      <c r="Z50" s="1453"/>
      <c r="AA50" s="1453"/>
      <c r="AB50" s="1453"/>
      <c r="AC50" s="1453"/>
      <c r="AD50" s="1453"/>
      <c r="AE50" s="1453"/>
      <c r="AF50" s="1453"/>
      <c r="AG50" s="1453">
        <f t="shared" si="376"/>
        <v>0</v>
      </c>
      <c r="AH50" s="1453"/>
      <c r="AI50" s="1453"/>
      <c r="AJ50" s="1453"/>
      <c r="AK50" s="1453"/>
      <c r="AL50" s="1453"/>
      <c r="AM50" s="1453"/>
      <c r="AN50" s="1453"/>
      <c r="AO50" s="1453"/>
      <c r="AP50" s="1453"/>
      <c r="AQ50" s="1453">
        <f t="shared" si="377"/>
        <v>0</v>
      </c>
      <c r="AR50" s="1453"/>
      <c r="AS50" s="1340"/>
      <c r="AT50" s="1341"/>
      <c r="AU50" s="1341"/>
      <c r="AV50" s="1341"/>
      <c r="AW50" s="1341"/>
      <c r="AX50" s="1341"/>
      <c r="AY50" s="1341"/>
      <c r="AZ50" s="1341"/>
      <c r="BA50" s="1341"/>
      <c r="BB50" s="1341"/>
      <c r="BC50" s="1341"/>
      <c r="BD50" s="1341"/>
      <c r="BE50" s="1341"/>
      <c r="BF50" s="1341"/>
      <c r="BG50" s="1341"/>
      <c r="BH50" s="1341"/>
      <c r="BI50" s="1341"/>
      <c r="BJ50" s="1341"/>
      <c r="BK50" s="1341"/>
      <c r="BL50" s="1341"/>
      <c r="BM50" s="1341"/>
      <c r="BN50" s="1341"/>
      <c r="BO50" s="1341"/>
      <c r="BP50" s="1341"/>
      <c r="BQ50" s="1341"/>
    </row>
    <row r="51" spans="1:69" s="1350" customFormat="1" ht="63" x14ac:dyDescent="0.25">
      <c r="A51" s="1351">
        <v>4</v>
      </c>
      <c r="B51" s="1352" t="s">
        <v>815</v>
      </c>
      <c r="C51" s="1455">
        <f>SUM(C52:C54)</f>
        <v>0</v>
      </c>
      <c r="D51" s="1455">
        <f t="shared" ref="D51" si="378">SUM(D52:D54)</f>
        <v>0</v>
      </c>
      <c r="E51" s="1455">
        <f t="shared" ref="E51" si="379">SUM(E52:E54)</f>
        <v>0</v>
      </c>
      <c r="F51" s="1455">
        <f t="shared" ref="F51" si="380">SUM(F52:F54)</f>
        <v>0</v>
      </c>
      <c r="G51" s="1455">
        <f t="shared" ref="G51" si="381">SUM(G52:G54)</f>
        <v>0</v>
      </c>
      <c r="H51" s="1455">
        <f t="shared" ref="H51" si="382">SUM(H52:H54)</f>
        <v>0</v>
      </c>
      <c r="I51" s="1455">
        <f t="shared" ref="I51" si="383">SUM(I52:I54)</f>
        <v>0</v>
      </c>
      <c r="J51" s="1455">
        <f t="shared" ref="J51" si="384">SUM(J52:J54)</f>
        <v>0</v>
      </c>
      <c r="K51" s="1455">
        <f t="shared" ref="K51" si="385">SUM(K52:K54)</f>
        <v>0</v>
      </c>
      <c r="L51" s="1455">
        <f t="shared" ref="L51" si="386">SUM(L52:L54)</f>
        <v>22000</v>
      </c>
      <c r="M51" s="1455">
        <f t="shared" ref="M51" si="387">SUM(M52:M54)</f>
        <v>22000</v>
      </c>
      <c r="N51" s="1455">
        <f t="shared" ref="N51" si="388">SUM(N52:N54)</f>
        <v>0</v>
      </c>
      <c r="O51" s="1455">
        <f t="shared" ref="O51" si="389">SUM(O52:O54)</f>
        <v>22000</v>
      </c>
      <c r="P51" s="1455">
        <f t="shared" ref="P51" si="390">SUM(P52:P54)</f>
        <v>0</v>
      </c>
      <c r="Q51" s="1455">
        <f t="shared" ref="Q51" si="391">SUM(Q52:Q54)</f>
        <v>0</v>
      </c>
      <c r="R51" s="1455">
        <f t="shared" ref="R51" si="392">SUM(R52:R54)</f>
        <v>0</v>
      </c>
      <c r="S51" s="1455">
        <f t="shared" ref="S51" si="393">SUM(S52:S54)</f>
        <v>22000</v>
      </c>
      <c r="T51" s="1455">
        <f t="shared" ref="T51" si="394">SUM(T52:T54)</f>
        <v>0</v>
      </c>
      <c r="U51" s="1455">
        <f t="shared" ref="U51" si="395">SUM(U52:U54)</f>
        <v>0</v>
      </c>
      <c r="V51" s="1455">
        <f t="shared" ref="V51" si="396">SUM(V52:V54)</f>
        <v>0</v>
      </c>
      <c r="W51" s="1455">
        <f t="shared" ref="W51" si="397">SUM(W52:W54)</f>
        <v>0</v>
      </c>
      <c r="X51" s="1455">
        <f t="shared" ref="X51" si="398">SUM(X52:X54)</f>
        <v>0</v>
      </c>
      <c r="Y51" s="1455">
        <f t="shared" ref="Y51" si="399">SUM(Y52:Y54)</f>
        <v>0</v>
      </c>
      <c r="Z51" s="1455">
        <f t="shared" ref="Z51" si="400">SUM(Z52:Z54)</f>
        <v>0</v>
      </c>
      <c r="AA51" s="1455">
        <f t="shared" ref="AA51" si="401">SUM(AA52:AA54)</f>
        <v>0</v>
      </c>
      <c r="AB51" s="1455">
        <f t="shared" ref="AB51" si="402">SUM(AB52:AB54)</f>
        <v>0</v>
      </c>
      <c r="AC51" s="1455">
        <f t="shared" ref="AC51" si="403">SUM(AC52:AC54)</f>
        <v>22000</v>
      </c>
      <c r="AD51" s="1455">
        <f t="shared" ref="AD51" si="404">SUM(AD52:AD54)</f>
        <v>0</v>
      </c>
      <c r="AE51" s="1455">
        <f t="shared" ref="AE51" si="405">SUM(AE52:AE54)</f>
        <v>0</v>
      </c>
      <c r="AF51" s="1455">
        <f t="shared" ref="AF51" si="406">SUM(AF52:AF54)</f>
        <v>0</v>
      </c>
      <c r="AG51" s="1455">
        <f t="shared" ref="AG51" si="407">SUM(AG52:AG54)</f>
        <v>0</v>
      </c>
      <c r="AH51" s="1455">
        <f t="shared" ref="AH51" si="408">SUM(AH52:AH54)</f>
        <v>0</v>
      </c>
      <c r="AI51" s="1455">
        <f t="shared" ref="AI51" si="409">SUM(AI52:AI54)</f>
        <v>0</v>
      </c>
      <c r="AJ51" s="1455">
        <f t="shared" ref="AJ51" si="410">SUM(AJ52:AJ54)</f>
        <v>0</v>
      </c>
      <c r="AK51" s="1455">
        <f t="shared" ref="AK51" si="411">SUM(AK52:AK54)</f>
        <v>0</v>
      </c>
      <c r="AL51" s="1455">
        <f t="shared" ref="AL51" si="412">SUM(AL52:AL54)</f>
        <v>0</v>
      </c>
      <c r="AM51" s="1455">
        <f t="shared" ref="AM51" si="413">SUM(AM52:AM54)</f>
        <v>0</v>
      </c>
      <c r="AN51" s="1455">
        <f t="shared" ref="AN51" si="414">SUM(AN52:AN54)</f>
        <v>0</v>
      </c>
      <c r="AO51" s="1455">
        <f t="shared" ref="AO51" si="415">SUM(AO52:AO54)</f>
        <v>0</v>
      </c>
      <c r="AP51" s="1455">
        <f t="shared" ref="AP51" si="416">SUM(AP52:AP54)</f>
        <v>0</v>
      </c>
      <c r="AQ51" s="1455">
        <f t="shared" ref="AQ51" si="417">SUM(AQ52:AQ54)</f>
        <v>0</v>
      </c>
      <c r="AR51" s="1455">
        <f t="shared" ref="AR51" si="418">SUM(AR52:AR54)</f>
        <v>0</v>
      </c>
      <c r="AS51" s="1348"/>
      <c r="AT51" s="1349"/>
      <c r="AU51" s="1349"/>
      <c r="AV51" s="1349"/>
      <c r="AW51" s="1349"/>
      <c r="AX51" s="1349"/>
      <c r="AY51" s="1349"/>
      <c r="AZ51" s="1349"/>
      <c r="BA51" s="1349"/>
      <c r="BB51" s="1349"/>
      <c r="BC51" s="1349"/>
      <c r="BD51" s="1349"/>
      <c r="BE51" s="1349"/>
      <c r="BF51" s="1349"/>
      <c r="BG51" s="1349"/>
      <c r="BH51" s="1349"/>
      <c r="BI51" s="1349"/>
      <c r="BJ51" s="1349"/>
      <c r="BK51" s="1349"/>
      <c r="BL51" s="1349"/>
      <c r="BM51" s="1349"/>
      <c r="BN51" s="1349"/>
      <c r="BO51" s="1349"/>
      <c r="BP51" s="1349"/>
      <c r="BQ51" s="1349"/>
    </row>
    <row r="52" spans="1:69" s="1342" customFormat="1" ht="21.75" customHeight="1" x14ac:dyDescent="0.25">
      <c r="A52" s="1339" t="s">
        <v>25</v>
      </c>
      <c r="B52" s="1338" t="s">
        <v>750</v>
      </c>
      <c r="C52" s="1453"/>
      <c r="D52" s="1453"/>
      <c r="E52" s="1453"/>
      <c r="F52" s="1453"/>
      <c r="G52" s="1453"/>
      <c r="H52" s="1453"/>
      <c r="I52" s="1453"/>
      <c r="J52" s="1453"/>
      <c r="K52" s="1453"/>
      <c r="L52" s="1453">
        <f t="shared" ref="L52:L54" si="419">M52+P52</f>
        <v>21000</v>
      </c>
      <c r="M52" s="1453">
        <f>N52+O52</f>
        <v>21000</v>
      </c>
      <c r="N52" s="1453"/>
      <c r="O52" s="1453">
        <v>21000</v>
      </c>
      <c r="P52" s="1453"/>
      <c r="Q52" s="1453"/>
      <c r="R52" s="1453"/>
      <c r="S52" s="1453">
        <f>SUM(T52:AC52)</f>
        <v>21000</v>
      </c>
      <c r="T52" s="1453"/>
      <c r="U52" s="1453"/>
      <c r="V52" s="1453"/>
      <c r="W52" s="1453"/>
      <c r="X52" s="1453"/>
      <c r="Y52" s="1453"/>
      <c r="Z52" s="1453"/>
      <c r="AA52" s="1453"/>
      <c r="AB52" s="1453"/>
      <c r="AC52" s="1453">
        <v>21000</v>
      </c>
      <c r="AD52" s="1453"/>
      <c r="AE52" s="1453"/>
      <c r="AF52" s="1453"/>
      <c r="AG52" s="1453">
        <f>SUM(AH52:AQ52)</f>
        <v>0</v>
      </c>
      <c r="AH52" s="1453"/>
      <c r="AI52" s="1453"/>
      <c r="AJ52" s="1453"/>
      <c r="AK52" s="1453"/>
      <c r="AL52" s="1453"/>
      <c r="AM52" s="1453"/>
      <c r="AN52" s="1453"/>
      <c r="AO52" s="1453"/>
      <c r="AP52" s="1453"/>
      <c r="AQ52" s="1453">
        <f>O52+R52-AC52</f>
        <v>0</v>
      </c>
      <c r="AR52" s="1453"/>
      <c r="AS52" s="1340"/>
      <c r="AT52" s="1341"/>
      <c r="AU52" s="1341"/>
      <c r="AV52" s="1341"/>
      <c r="AW52" s="1341"/>
      <c r="AX52" s="1341"/>
      <c r="AY52" s="1341"/>
      <c r="AZ52" s="1341"/>
      <c r="BA52" s="1341"/>
      <c r="BB52" s="1341"/>
      <c r="BC52" s="1341"/>
      <c r="BD52" s="1341"/>
      <c r="BE52" s="1341"/>
      <c r="BF52" s="1341"/>
      <c r="BG52" s="1341"/>
      <c r="BH52" s="1341"/>
      <c r="BI52" s="1341"/>
      <c r="BJ52" s="1341"/>
      <c r="BK52" s="1341"/>
      <c r="BL52" s="1341"/>
      <c r="BM52" s="1341"/>
      <c r="BN52" s="1341"/>
      <c r="BO52" s="1341"/>
      <c r="BP52" s="1341"/>
      <c r="BQ52" s="1341"/>
    </row>
    <row r="53" spans="1:69" s="1342" customFormat="1" ht="21.75" customHeight="1" x14ac:dyDescent="0.25">
      <c r="A53" s="1339" t="s">
        <v>25</v>
      </c>
      <c r="B53" s="1338" t="s">
        <v>751</v>
      </c>
      <c r="C53" s="1453"/>
      <c r="D53" s="1453"/>
      <c r="E53" s="1453"/>
      <c r="F53" s="1453"/>
      <c r="G53" s="1453"/>
      <c r="H53" s="1453"/>
      <c r="I53" s="1453"/>
      <c r="J53" s="1453"/>
      <c r="K53" s="1453"/>
      <c r="L53" s="1453">
        <f t="shared" si="419"/>
        <v>1000</v>
      </c>
      <c r="M53" s="1453">
        <f t="shared" ref="M53:M54" si="420">N53+O53</f>
        <v>1000</v>
      </c>
      <c r="N53" s="1453"/>
      <c r="O53" s="1453">
        <v>1000</v>
      </c>
      <c r="P53" s="1453"/>
      <c r="Q53" s="1453"/>
      <c r="R53" s="1453"/>
      <c r="S53" s="1453">
        <f t="shared" ref="S53:S54" si="421">SUM(T53:AC53)</f>
        <v>1000</v>
      </c>
      <c r="T53" s="1453"/>
      <c r="U53" s="1453"/>
      <c r="V53" s="1453"/>
      <c r="W53" s="1453"/>
      <c r="X53" s="1453"/>
      <c r="Y53" s="1453"/>
      <c r="Z53" s="1453"/>
      <c r="AA53" s="1453"/>
      <c r="AB53" s="1453"/>
      <c r="AC53" s="1453">
        <v>1000</v>
      </c>
      <c r="AD53" s="1453"/>
      <c r="AE53" s="1453"/>
      <c r="AF53" s="1453"/>
      <c r="AG53" s="1453">
        <f t="shared" ref="AG53:AG54" si="422">SUM(AH53:AQ53)</f>
        <v>0</v>
      </c>
      <c r="AH53" s="1453"/>
      <c r="AI53" s="1453"/>
      <c r="AJ53" s="1453"/>
      <c r="AK53" s="1453"/>
      <c r="AL53" s="1453"/>
      <c r="AM53" s="1453"/>
      <c r="AN53" s="1453"/>
      <c r="AO53" s="1453"/>
      <c r="AP53" s="1453"/>
      <c r="AQ53" s="1453">
        <f t="shared" ref="AQ53:AQ54" si="423">O53+R53-AC53</f>
        <v>0</v>
      </c>
      <c r="AR53" s="1453"/>
      <c r="AS53" s="1340"/>
      <c r="AT53" s="1341"/>
      <c r="AU53" s="1341"/>
      <c r="AV53" s="1341"/>
      <c r="AW53" s="1341"/>
      <c r="AX53" s="1341"/>
      <c r="AY53" s="1341"/>
      <c r="AZ53" s="1341"/>
      <c r="BA53" s="1341"/>
      <c r="BB53" s="1341"/>
      <c r="BC53" s="1341"/>
      <c r="BD53" s="1341"/>
      <c r="BE53" s="1341"/>
      <c r="BF53" s="1341"/>
      <c r="BG53" s="1341"/>
      <c r="BH53" s="1341"/>
      <c r="BI53" s="1341"/>
      <c r="BJ53" s="1341"/>
      <c r="BK53" s="1341"/>
      <c r="BL53" s="1341"/>
      <c r="BM53" s="1341"/>
      <c r="BN53" s="1341"/>
      <c r="BO53" s="1341"/>
      <c r="BP53" s="1341"/>
      <c r="BQ53" s="1341"/>
    </row>
    <row r="54" spans="1:69" s="1342" customFormat="1" x14ac:dyDescent="0.25">
      <c r="A54" s="1339" t="s">
        <v>25</v>
      </c>
      <c r="B54" s="1338" t="s">
        <v>264</v>
      </c>
      <c r="C54" s="1453"/>
      <c r="D54" s="1453"/>
      <c r="E54" s="1453"/>
      <c r="F54" s="1453"/>
      <c r="G54" s="1453"/>
      <c r="H54" s="1453"/>
      <c r="I54" s="1453"/>
      <c r="J54" s="1453"/>
      <c r="K54" s="1453"/>
      <c r="L54" s="1453">
        <f t="shared" si="419"/>
        <v>0</v>
      </c>
      <c r="M54" s="1453">
        <f t="shared" si="420"/>
        <v>0</v>
      </c>
      <c r="N54" s="1453"/>
      <c r="O54" s="1453"/>
      <c r="P54" s="1453"/>
      <c r="Q54" s="1453"/>
      <c r="R54" s="1453"/>
      <c r="S54" s="1453">
        <f t="shared" si="421"/>
        <v>0</v>
      </c>
      <c r="T54" s="1453"/>
      <c r="U54" s="1453"/>
      <c r="V54" s="1453"/>
      <c r="W54" s="1453"/>
      <c r="X54" s="1453"/>
      <c r="Y54" s="1453"/>
      <c r="Z54" s="1453"/>
      <c r="AA54" s="1453"/>
      <c r="AB54" s="1453"/>
      <c r="AC54" s="1453"/>
      <c r="AD54" s="1453"/>
      <c r="AE54" s="1453"/>
      <c r="AF54" s="1453"/>
      <c r="AG54" s="1453">
        <f t="shared" si="422"/>
        <v>0</v>
      </c>
      <c r="AH54" s="1453"/>
      <c r="AI54" s="1453"/>
      <c r="AJ54" s="1453"/>
      <c r="AK54" s="1453"/>
      <c r="AL54" s="1453"/>
      <c r="AM54" s="1453"/>
      <c r="AN54" s="1453"/>
      <c r="AO54" s="1453"/>
      <c r="AP54" s="1453"/>
      <c r="AQ54" s="1453">
        <f t="shared" si="423"/>
        <v>0</v>
      </c>
      <c r="AR54" s="1453"/>
      <c r="AS54" s="1340"/>
      <c r="AT54" s="1341"/>
      <c r="AU54" s="1341"/>
      <c r="AV54" s="1341"/>
      <c r="AW54" s="1341"/>
      <c r="AX54" s="1341"/>
      <c r="AY54" s="1341"/>
      <c r="AZ54" s="1341"/>
      <c r="BA54" s="1341"/>
      <c r="BB54" s="1341"/>
      <c r="BC54" s="1341"/>
      <c r="BD54" s="1341"/>
      <c r="BE54" s="1341"/>
      <c r="BF54" s="1341"/>
      <c r="BG54" s="1341"/>
      <c r="BH54" s="1341"/>
      <c r="BI54" s="1341"/>
      <c r="BJ54" s="1341"/>
      <c r="BK54" s="1341"/>
      <c r="BL54" s="1341"/>
      <c r="BM54" s="1341"/>
      <c r="BN54" s="1341"/>
      <c r="BO54" s="1341"/>
      <c r="BP54" s="1341"/>
      <c r="BQ54" s="1341"/>
    </row>
    <row r="55" spans="1:69" s="1350" customFormat="1" ht="120" x14ac:dyDescent="0.25">
      <c r="A55" s="1351">
        <v>5</v>
      </c>
      <c r="B55" s="1457" t="s">
        <v>468</v>
      </c>
      <c r="C55" s="1455">
        <f>SUM(C56:C58)</f>
        <v>0</v>
      </c>
      <c r="D55" s="1455">
        <f t="shared" ref="D55" si="424">SUM(D56:D58)</f>
        <v>0</v>
      </c>
      <c r="E55" s="1455">
        <f t="shared" ref="E55" si="425">SUM(E56:E58)</f>
        <v>0</v>
      </c>
      <c r="F55" s="1455">
        <f t="shared" ref="F55" si="426">SUM(F56:F58)</f>
        <v>0</v>
      </c>
      <c r="G55" s="1455">
        <f t="shared" ref="G55" si="427">SUM(G56:G58)</f>
        <v>0</v>
      </c>
      <c r="H55" s="1455">
        <f t="shared" ref="H55" si="428">SUM(H56:H58)</f>
        <v>0</v>
      </c>
      <c r="I55" s="1455">
        <f t="shared" ref="I55" si="429">SUM(I56:I58)</f>
        <v>0</v>
      </c>
      <c r="J55" s="1455">
        <f t="shared" ref="J55" si="430">SUM(J56:J58)</f>
        <v>0</v>
      </c>
      <c r="K55" s="1455">
        <f t="shared" ref="K55" si="431">SUM(K56:K58)</f>
        <v>0</v>
      </c>
      <c r="L55" s="1455">
        <f t="shared" ref="L55" si="432">SUM(L56:L58)</f>
        <v>40000</v>
      </c>
      <c r="M55" s="1455">
        <f t="shared" ref="M55" si="433">SUM(M56:M58)</f>
        <v>40000</v>
      </c>
      <c r="N55" s="1455">
        <f t="shared" ref="N55" si="434">SUM(N56:N58)</f>
        <v>0</v>
      </c>
      <c r="O55" s="1455">
        <f t="shared" ref="O55" si="435">SUM(O56:O58)</f>
        <v>40000</v>
      </c>
      <c r="P55" s="1455">
        <f t="shared" ref="P55" si="436">SUM(P56:P58)</f>
        <v>0</v>
      </c>
      <c r="Q55" s="1455">
        <f t="shared" ref="Q55" si="437">SUM(Q56:Q58)</f>
        <v>0</v>
      </c>
      <c r="R55" s="1455">
        <f t="shared" ref="R55" si="438">SUM(R56:R58)</f>
        <v>0</v>
      </c>
      <c r="S55" s="1455">
        <f t="shared" ref="S55" si="439">SUM(S56:S58)</f>
        <v>39995.154000000002</v>
      </c>
      <c r="T55" s="1455">
        <f t="shared" ref="T55" si="440">SUM(T56:T58)</f>
        <v>0</v>
      </c>
      <c r="U55" s="1455">
        <f t="shared" ref="U55" si="441">SUM(U56:U58)</f>
        <v>0</v>
      </c>
      <c r="V55" s="1455">
        <f t="shared" ref="V55" si="442">SUM(V56:V58)</f>
        <v>0</v>
      </c>
      <c r="W55" s="1455">
        <f t="shared" ref="W55" si="443">SUM(W56:W58)</f>
        <v>0</v>
      </c>
      <c r="X55" s="1455">
        <f t="shared" ref="X55" si="444">SUM(X56:X58)</f>
        <v>0</v>
      </c>
      <c r="Y55" s="1455">
        <f t="shared" ref="Y55" si="445">SUM(Y56:Y58)</f>
        <v>0</v>
      </c>
      <c r="Z55" s="1455">
        <f t="shared" ref="Z55" si="446">SUM(Z56:Z58)</f>
        <v>0</v>
      </c>
      <c r="AA55" s="1455">
        <f t="shared" ref="AA55" si="447">SUM(AA56:AA58)</f>
        <v>0</v>
      </c>
      <c r="AB55" s="1455">
        <f t="shared" ref="AB55" si="448">SUM(AB56:AB58)</f>
        <v>0</v>
      </c>
      <c r="AC55" s="1455">
        <f t="shared" ref="AC55" si="449">SUM(AC56:AC58)</f>
        <v>39995.154000000002</v>
      </c>
      <c r="AD55" s="1455">
        <f t="shared" ref="AD55" si="450">SUM(AD56:AD58)</f>
        <v>0</v>
      </c>
      <c r="AE55" s="1455">
        <f t="shared" ref="AE55" si="451">SUM(AE56:AE58)</f>
        <v>0</v>
      </c>
      <c r="AF55" s="1455">
        <f t="shared" ref="AF55" si="452">SUM(AF56:AF58)</f>
        <v>0</v>
      </c>
      <c r="AG55" s="1455">
        <f t="shared" ref="AG55" si="453">SUM(AG56:AG58)</f>
        <v>4.8459999999977299</v>
      </c>
      <c r="AH55" s="1455">
        <f t="shared" ref="AH55" si="454">SUM(AH56:AH58)</f>
        <v>0</v>
      </c>
      <c r="AI55" s="1455">
        <f t="shared" ref="AI55" si="455">SUM(AI56:AI58)</f>
        <v>0</v>
      </c>
      <c r="AJ55" s="1455">
        <f t="shared" ref="AJ55" si="456">SUM(AJ56:AJ58)</f>
        <v>0</v>
      </c>
      <c r="AK55" s="1455">
        <f t="shared" ref="AK55" si="457">SUM(AK56:AK58)</f>
        <v>0</v>
      </c>
      <c r="AL55" s="1455">
        <f t="shared" ref="AL55" si="458">SUM(AL56:AL58)</f>
        <v>0</v>
      </c>
      <c r="AM55" s="1455">
        <f t="shared" ref="AM55" si="459">SUM(AM56:AM58)</f>
        <v>0</v>
      </c>
      <c r="AN55" s="1455">
        <f t="shared" ref="AN55" si="460">SUM(AN56:AN58)</f>
        <v>0</v>
      </c>
      <c r="AO55" s="1455">
        <f t="shared" ref="AO55" si="461">SUM(AO56:AO58)</f>
        <v>0</v>
      </c>
      <c r="AP55" s="1455">
        <f t="shared" ref="AP55" si="462">SUM(AP56:AP58)</f>
        <v>0</v>
      </c>
      <c r="AQ55" s="1455">
        <f t="shared" ref="AQ55" si="463">SUM(AQ56:AQ58)</f>
        <v>4.8459999999977299</v>
      </c>
      <c r="AR55" s="1455">
        <f t="shared" ref="AR55" si="464">SUM(AR56:AR58)</f>
        <v>0</v>
      </c>
      <c r="AS55" s="1348"/>
      <c r="AT55" s="1349"/>
      <c r="AU55" s="1349"/>
      <c r="AV55" s="1349"/>
      <c r="AW55" s="1349"/>
      <c r="AX55" s="1349"/>
      <c r="AY55" s="1349"/>
      <c r="AZ55" s="1349"/>
      <c r="BA55" s="1349"/>
      <c r="BB55" s="1349"/>
      <c r="BC55" s="1349"/>
      <c r="BD55" s="1349"/>
      <c r="BE55" s="1349"/>
      <c r="BF55" s="1349"/>
      <c r="BG55" s="1349"/>
      <c r="BH55" s="1349"/>
      <c r="BI55" s="1349"/>
      <c r="BJ55" s="1349"/>
      <c r="BK55" s="1349"/>
      <c r="BL55" s="1349"/>
      <c r="BM55" s="1349"/>
      <c r="BN55" s="1349"/>
      <c r="BO55" s="1349"/>
      <c r="BP55" s="1349"/>
      <c r="BQ55" s="1349"/>
    </row>
    <row r="56" spans="1:69" s="1342" customFormat="1" ht="21.75" customHeight="1" x14ac:dyDescent="0.25">
      <c r="A56" s="1339" t="s">
        <v>25</v>
      </c>
      <c r="B56" s="1338" t="s">
        <v>750</v>
      </c>
      <c r="C56" s="1453"/>
      <c r="D56" s="1453"/>
      <c r="E56" s="1453"/>
      <c r="F56" s="1453"/>
      <c r="G56" s="1453"/>
      <c r="H56" s="1453"/>
      <c r="I56" s="1453"/>
      <c r="J56" s="1453"/>
      <c r="K56" s="1453"/>
      <c r="L56" s="1453">
        <f t="shared" ref="L56:L58" si="465">M56+P56</f>
        <v>40000</v>
      </c>
      <c r="M56" s="1453">
        <f>N56+O56</f>
        <v>40000</v>
      </c>
      <c r="N56" s="1453"/>
      <c r="O56" s="1453">
        <v>40000</v>
      </c>
      <c r="P56" s="1453"/>
      <c r="Q56" s="1453"/>
      <c r="R56" s="1453"/>
      <c r="S56" s="1453">
        <f>SUM(T56:AC56)</f>
        <v>39995.154000000002</v>
      </c>
      <c r="T56" s="1453"/>
      <c r="U56" s="1453"/>
      <c r="V56" s="1453"/>
      <c r="W56" s="1453"/>
      <c r="X56" s="1453"/>
      <c r="Y56" s="1453"/>
      <c r="Z56" s="1453"/>
      <c r="AA56" s="1453"/>
      <c r="AB56" s="1453"/>
      <c r="AC56" s="1453">
        <v>39995.154000000002</v>
      </c>
      <c r="AD56" s="1453"/>
      <c r="AE56" s="1453"/>
      <c r="AF56" s="1453"/>
      <c r="AG56" s="1453">
        <f>SUM(AH56:AQ56)</f>
        <v>4.8459999999977299</v>
      </c>
      <c r="AH56" s="1453"/>
      <c r="AI56" s="1453"/>
      <c r="AJ56" s="1453"/>
      <c r="AK56" s="1453"/>
      <c r="AL56" s="1453"/>
      <c r="AM56" s="1453"/>
      <c r="AN56" s="1453"/>
      <c r="AO56" s="1453"/>
      <c r="AP56" s="1453"/>
      <c r="AQ56" s="1453">
        <f>O56+R56-AC56</f>
        <v>4.8459999999977299</v>
      </c>
      <c r="AR56" s="1453"/>
      <c r="AS56" s="1340"/>
      <c r="AT56" s="1341"/>
      <c r="AU56" s="1341"/>
      <c r="AV56" s="1341"/>
      <c r="AW56" s="1341"/>
      <c r="AX56" s="1341"/>
      <c r="AY56" s="1341"/>
      <c r="AZ56" s="1341"/>
      <c r="BA56" s="1341"/>
      <c r="BB56" s="1341"/>
      <c r="BC56" s="1341"/>
      <c r="BD56" s="1341"/>
      <c r="BE56" s="1341"/>
      <c r="BF56" s="1341"/>
      <c r="BG56" s="1341"/>
      <c r="BH56" s="1341"/>
      <c r="BI56" s="1341"/>
      <c r="BJ56" s="1341"/>
      <c r="BK56" s="1341"/>
      <c r="BL56" s="1341"/>
      <c r="BM56" s="1341"/>
      <c r="BN56" s="1341"/>
      <c r="BO56" s="1341"/>
      <c r="BP56" s="1341"/>
      <c r="BQ56" s="1341"/>
    </row>
    <row r="57" spans="1:69" s="1342" customFormat="1" ht="21.75" customHeight="1" x14ac:dyDescent="0.25">
      <c r="A57" s="1339" t="s">
        <v>25</v>
      </c>
      <c r="B57" s="1338" t="s">
        <v>751</v>
      </c>
      <c r="C57" s="1453"/>
      <c r="D57" s="1453"/>
      <c r="E57" s="1453"/>
      <c r="F57" s="1453"/>
      <c r="G57" s="1453"/>
      <c r="H57" s="1453"/>
      <c r="I57" s="1453"/>
      <c r="J57" s="1453"/>
      <c r="K57" s="1453"/>
      <c r="L57" s="1453">
        <f t="shared" si="465"/>
        <v>0</v>
      </c>
      <c r="M57" s="1453">
        <f t="shared" ref="M57:M58" si="466">N57+O57</f>
        <v>0</v>
      </c>
      <c r="N57" s="1453"/>
      <c r="O57" s="1453"/>
      <c r="P57" s="1453"/>
      <c r="Q57" s="1453"/>
      <c r="R57" s="1453"/>
      <c r="S57" s="1453">
        <f t="shared" ref="S57:S58" si="467">SUM(T57:AC57)</f>
        <v>0</v>
      </c>
      <c r="T57" s="1453"/>
      <c r="U57" s="1453"/>
      <c r="V57" s="1453"/>
      <c r="W57" s="1453"/>
      <c r="X57" s="1453"/>
      <c r="Y57" s="1453"/>
      <c r="Z57" s="1453"/>
      <c r="AA57" s="1453"/>
      <c r="AB57" s="1453"/>
      <c r="AC57" s="1453"/>
      <c r="AD57" s="1453"/>
      <c r="AE57" s="1453"/>
      <c r="AF57" s="1453"/>
      <c r="AG57" s="1453">
        <f t="shared" ref="AG57:AG58" si="468">SUM(AH57:AQ57)</f>
        <v>0</v>
      </c>
      <c r="AH57" s="1453"/>
      <c r="AI57" s="1453"/>
      <c r="AJ57" s="1453"/>
      <c r="AK57" s="1453"/>
      <c r="AL57" s="1453"/>
      <c r="AM57" s="1453"/>
      <c r="AN57" s="1453"/>
      <c r="AO57" s="1453"/>
      <c r="AP57" s="1453"/>
      <c r="AQ57" s="1453">
        <f t="shared" ref="AQ57:AQ58" si="469">O57+R57-AC57</f>
        <v>0</v>
      </c>
      <c r="AR57" s="1453"/>
      <c r="AS57" s="1340"/>
      <c r="AT57" s="1341"/>
      <c r="AU57" s="1341"/>
      <c r="AV57" s="1341"/>
      <c r="AW57" s="1341"/>
      <c r="AX57" s="1341"/>
      <c r="AY57" s="1341"/>
      <c r="AZ57" s="1341"/>
      <c r="BA57" s="1341"/>
      <c r="BB57" s="1341"/>
      <c r="BC57" s="1341"/>
      <c r="BD57" s="1341"/>
      <c r="BE57" s="1341"/>
      <c r="BF57" s="1341"/>
      <c r="BG57" s="1341"/>
      <c r="BH57" s="1341"/>
      <c r="BI57" s="1341"/>
      <c r="BJ57" s="1341"/>
      <c r="BK57" s="1341"/>
      <c r="BL57" s="1341"/>
      <c r="BM57" s="1341"/>
      <c r="BN57" s="1341"/>
      <c r="BO57" s="1341"/>
      <c r="BP57" s="1341"/>
      <c r="BQ57" s="1341"/>
    </row>
    <row r="58" spans="1:69" s="1342" customFormat="1" x14ac:dyDescent="0.25">
      <c r="A58" s="1339" t="s">
        <v>25</v>
      </c>
      <c r="B58" s="1338" t="s">
        <v>264</v>
      </c>
      <c r="C58" s="1453"/>
      <c r="D58" s="1453"/>
      <c r="E58" s="1453"/>
      <c r="F58" s="1453"/>
      <c r="G58" s="1453"/>
      <c r="H58" s="1453"/>
      <c r="I58" s="1453"/>
      <c r="J58" s="1453"/>
      <c r="K58" s="1453"/>
      <c r="L58" s="1453">
        <f t="shared" si="465"/>
        <v>0</v>
      </c>
      <c r="M58" s="1453">
        <f t="shared" si="466"/>
        <v>0</v>
      </c>
      <c r="N58" s="1453"/>
      <c r="O58" s="1453"/>
      <c r="P58" s="1453"/>
      <c r="Q58" s="1453"/>
      <c r="R58" s="1453"/>
      <c r="S58" s="1453">
        <f t="shared" si="467"/>
        <v>0</v>
      </c>
      <c r="T58" s="1453"/>
      <c r="U58" s="1453"/>
      <c r="V58" s="1453"/>
      <c r="W58" s="1453"/>
      <c r="X58" s="1453"/>
      <c r="Y58" s="1453"/>
      <c r="Z58" s="1453"/>
      <c r="AA58" s="1453"/>
      <c r="AB58" s="1453"/>
      <c r="AC58" s="1453"/>
      <c r="AD58" s="1453"/>
      <c r="AE58" s="1453"/>
      <c r="AF58" s="1453"/>
      <c r="AG58" s="1453">
        <f t="shared" si="468"/>
        <v>0</v>
      </c>
      <c r="AH58" s="1453"/>
      <c r="AI58" s="1453"/>
      <c r="AJ58" s="1453"/>
      <c r="AK58" s="1453"/>
      <c r="AL58" s="1453"/>
      <c r="AM58" s="1453"/>
      <c r="AN58" s="1453"/>
      <c r="AO58" s="1453"/>
      <c r="AP58" s="1453"/>
      <c r="AQ58" s="1453">
        <f t="shared" si="469"/>
        <v>0</v>
      </c>
      <c r="AR58" s="1453"/>
      <c r="AS58" s="1340"/>
      <c r="AT58" s="1341"/>
      <c r="AU58" s="1341"/>
      <c r="AV58" s="1341"/>
      <c r="AW58" s="1341"/>
      <c r="AX58" s="1341"/>
      <c r="AY58" s="1341"/>
      <c r="AZ58" s="1341"/>
      <c r="BA58" s="1341"/>
      <c r="BB58" s="1341"/>
      <c r="BC58" s="1341"/>
      <c r="BD58" s="1341"/>
      <c r="BE58" s="1341"/>
      <c r="BF58" s="1341"/>
      <c r="BG58" s="1341"/>
      <c r="BH58" s="1341"/>
      <c r="BI58" s="1341"/>
      <c r="BJ58" s="1341"/>
      <c r="BK58" s="1341"/>
      <c r="BL58" s="1341"/>
      <c r="BM58" s="1341"/>
      <c r="BN58" s="1341"/>
      <c r="BO58" s="1341"/>
      <c r="BP58" s="1341"/>
      <c r="BQ58" s="1341"/>
    </row>
    <row r="59" spans="1:69" s="1350" customFormat="1" ht="54" x14ac:dyDescent="0.25">
      <c r="A59" s="1351">
        <v>6</v>
      </c>
      <c r="B59" s="1456" t="s">
        <v>594</v>
      </c>
      <c r="C59" s="1455">
        <f>SUM(C60:C62)</f>
        <v>0</v>
      </c>
      <c r="D59" s="1455">
        <f t="shared" ref="D59" si="470">SUM(D60:D62)</f>
        <v>0</v>
      </c>
      <c r="E59" s="1455">
        <f t="shared" ref="E59" si="471">SUM(E60:E62)</f>
        <v>0</v>
      </c>
      <c r="F59" s="1455">
        <f t="shared" ref="F59" si="472">SUM(F60:F62)</f>
        <v>0</v>
      </c>
      <c r="G59" s="1455">
        <f t="shared" ref="G59" si="473">SUM(G60:G62)</f>
        <v>0</v>
      </c>
      <c r="H59" s="1455">
        <f t="shared" ref="H59" si="474">SUM(H60:H62)</f>
        <v>0</v>
      </c>
      <c r="I59" s="1455">
        <f t="shared" ref="I59" si="475">SUM(I60:I62)</f>
        <v>0</v>
      </c>
      <c r="J59" s="1455">
        <f t="shared" ref="J59" si="476">SUM(J60:J62)</f>
        <v>0</v>
      </c>
      <c r="K59" s="1455">
        <f t="shared" ref="K59" si="477">SUM(K60:K62)</f>
        <v>0</v>
      </c>
      <c r="L59" s="1455">
        <f t="shared" ref="L59" si="478">SUM(L60:L62)</f>
        <v>25000</v>
      </c>
      <c r="M59" s="1455">
        <f t="shared" ref="M59" si="479">SUM(M60:M62)</f>
        <v>25000</v>
      </c>
      <c r="N59" s="1455">
        <f t="shared" ref="N59" si="480">SUM(N60:N62)</f>
        <v>0</v>
      </c>
      <c r="O59" s="1455">
        <f t="shared" ref="O59" si="481">SUM(O60:O62)</f>
        <v>25000</v>
      </c>
      <c r="P59" s="1455">
        <f t="shared" ref="P59" si="482">SUM(P60:P62)</f>
        <v>0</v>
      </c>
      <c r="Q59" s="1455">
        <f t="shared" ref="Q59" si="483">SUM(Q60:Q62)</f>
        <v>0</v>
      </c>
      <c r="R59" s="1455">
        <f t="shared" ref="R59" si="484">SUM(R60:R62)</f>
        <v>0</v>
      </c>
      <c r="S59" s="1455">
        <f t="shared" ref="S59" si="485">SUM(S60:S62)</f>
        <v>0</v>
      </c>
      <c r="T59" s="1455">
        <f t="shared" ref="T59" si="486">SUM(T60:T62)</f>
        <v>0</v>
      </c>
      <c r="U59" s="1455">
        <f t="shared" ref="U59" si="487">SUM(U60:U62)</f>
        <v>0</v>
      </c>
      <c r="V59" s="1455">
        <f t="shared" ref="V59" si="488">SUM(V60:V62)</f>
        <v>0</v>
      </c>
      <c r="W59" s="1455">
        <f t="shared" ref="W59" si="489">SUM(W60:W62)</f>
        <v>0</v>
      </c>
      <c r="X59" s="1455">
        <f t="shared" ref="X59" si="490">SUM(X60:X62)</f>
        <v>0</v>
      </c>
      <c r="Y59" s="1455">
        <f t="shared" ref="Y59" si="491">SUM(Y60:Y62)</f>
        <v>0</v>
      </c>
      <c r="Z59" s="1455">
        <f t="shared" ref="Z59" si="492">SUM(Z60:Z62)</f>
        <v>0</v>
      </c>
      <c r="AA59" s="1455">
        <f t="shared" ref="AA59" si="493">SUM(AA60:AA62)</f>
        <v>0</v>
      </c>
      <c r="AB59" s="1455">
        <f t="shared" ref="AB59" si="494">SUM(AB60:AB62)</f>
        <v>0</v>
      </c>
      <c r="AC59" s="1455">
        <f t="shared" ref="AC59" si="495">SUM(AC60:AC62)</f>
        <v>0</v>
      </c>
      <c r="AD59" s="1455">
        <f t="shared" ref="AD59" si="496">SUM(AD60:AD62)</f>
        <v>0</v>
      </c>
      <c r="AE59" s="1455">
        <f t="shared" ref="AE59" si="497">SUM(AE60:AE62)</f>
        <v>0</v>
      </c>
      <c r="AF59" s="1455">
        <f t="shared" ref="AF59" si="498">SUM(AF60:AF62)</f>
        <v>0</v>
      </c>
      <c r="AG59" s="1455">
        <f t="shared" ref="AG59" si="499">SUM(AG60:AG62)</f>
        <v>25000</v>
      </c>
      <c r="AH59" s="1455">
        <f t="shared" ref="AH59" si="500">SUM(AH60:AH62)</f>
        <v>0</v>
      </c>
      <c r="AI59" s="1455">
        <f t="shared" ref="AI59" si="501">SUM(AI60:AI62)</f>
        <v>0</v>
      </c>
      <c r="AJ59" s="1455">
        <f t="shared" ref="AJ59" si="502">SUM(AJ60:AJ62)</f>
        <v>0</v>
      </c>
      <c r="AK59" s="1455">
        <f t="shared" ref="AK59" si="503">SUM(AK60:AK62)</f>
        <v>0</v>
      </c>
      <c r="AL59" s="1455">
        <f t="shared" ref="AL59" si="504">SUM(AL60:AL62)</f>
        <v>0</v>
      </c>
      <c r="AM59" s="1455">
        <f t="shared" ref="AM59" si="505">SUM(AM60:AM62)</f>
        <v>0</v>
      </c>
      <c r="AN59" s="1455">
        <f t="shared" ref="AN59" si="506">SUM(AN60:AN62)</f>
        <v>0</v>
      </c>
      <c r="AO59" s="1455">
        <f t="shared" ref="AO59" si="507">SUM(AO60:AO62)</f>
        <v>0</v>
      </c>
      <c r="AP59" s="1455">
        <f t="shared" ref="AP59" si="508">SUM(AP60:AP62)</f>
        <v>0</v>
      </c>
      <c r="AQ59" s="1455">
        <f t="shared" ref="AQ59" si="509">SUM(AQ60:AQ62)</f>
        <v>25000</v>
      </c>
      <c r="AR59" s="1455">
        <f t="shared" ref="AR59" si="510">SUM(AR60:AR62)</f>
        <v>0</v>
      </c>
      <c r="AS59" s="1348"/>
      <c r="AT59" s="1349"/>
      <c r="AU59" s="1349"/>
      <c r="AV59" s="1349"/>
      <c r="AW59" s="1349"/>
      <c r="AX59" s="1349"/>
      <c r="AY59" s="1349"/>
      <c r="AZ59" s="1349"/>
      <c r="BA59" s="1349"/>
      <c r="BB59" s="1349"/>
      <c r="BC59" s="1349"/>
      <c r="BD59" s="1349"/>
      <c r="BE59" s="1349"/>
      <c r="BF59" s="1349"/>
      <c r="BG59" s="1349"/>
      <c r="BH59" s="1349"/>
      <c r="BI59" s="1349"/>
      <c r="BJ59" s="1349"/>
      <c r="BK59" s="1349"/>
      <c r="BL59" s="1349"/>
      <c r="BM59" s="1349"/>
      <c r="BN59" s="1349"/>
      <c r="BO59" s="1349"/>
      <c r="BP59" s="1349"/>
      <c r="BQ59" s="1349"/>
    </row>
    <row r="60" spans="1:69" s="1342" customFormat="1" ht="21.75" customHeight="1" x14ac:dyDescent="0.25">
      <c r="A60" s="1339" t="s">
        <v>25</v>
      </c>
      <c r="B60" s="1338" t="s">
        <v>750</v>
      </c>
      <c r="C60" s="1453"/>
      <c r="D60" s="1453"/>
      <c r="E60" s="1453"/>
      <c r="F60" s="1453"/>
      <c r="G60" s="1453"/>
      <c r="H60" s="1453"/>
      <c r="I60" s="1453"/>
      <c r="J60" s="1453"/>
      <c r="K60" s="1453"/>
      <c r="L60" s="1453">
        <f t="shared" ref="L60:L62" si="511">M60+P60</f>
        <v>24000</v>
      </c>
      <c r="M60" s="1453">
        <f>N60+O60</f>
        <v>24000</v>
      </c>
      <c r="N60" s="1453"/>
      <c r="O60" s="1453">
        <v>24000</v>
      </c>
      <c r="P60" s="1453"/>
      <c r="Q60" s="1453"/>
      <c r="R60" s="1453"/>
      <c r="S60" s="1453">
        <f>SUM(T60:AC60)</f>
        <v>0</v>
      </c>
      <c r="T60" s="1453"/>
      <c r="U60" s="1453"/>
      <c r="V60" s="1453"/>
      <c r="W60" s="1453"/>
      <c r="X60" s="1453"/>
      <c r="Y60" s="1453"/>
      <c r="Z60" s="1453"/>
      <c r="AA60" s="1453"/>
      <c r="AB60" s="1453"/>
      <c r="AC60" s="1453"/>
      <c r="AD60" s="1453"/>
      <c r="AE60" s="1453"/>
      <c r="AF60" s="1453"/>
      <c r="AG60" s="1453">
        <f>SUM(AH60:AQ60)</f>
        <v>24000</v>
      </c>
      <c r="AH60" s="1453"/>
      <c r="AI60" s="1453"/>
      <c r="AJ60" s="1453"/>
      <c r="AK60" s="1453"/>
      <c r="AL60" s="1453"/>
      <c r="AM60" s="1453"/>
      <c r="AN60" s="1453"/>
      <c r="AO60" s="1453"/>
      <c r="AP60" s="1453"/>
      <c r="AQ60" s="1453">
        <f>O60+R60-AC60</f>
        <v>24000</v>
      </c>
      <c r="AR60" s="1453"/>
      <c r="AS60" s="1340"/>
      <c r="AT60" s="1341"/>
      <c r="AU60" s="1341"/>
      <c r="AV60" s="1341"/>
      <c r="AW60" s="1341"/>
      <c r="AX60" s="1341"/>
      <c r="AY60" s="1341"/>
      <c r="AZ60" s="1341"/>
      <c r="BA60" s="1341"/>
      <c r="BB60" s="1341"/>
      <c r="BC60" s="1341"/>
      <c r="BD60" s="1341"/>
      <c r="BE60" s="1341"/>
      <c r="BF60" s="1341"/>
      <c r="BG60" s="1341"/>
      <c r="BH60" s="1341"/>
      <c r="BI60" s="1341"/>
      <c r="BJ60" s="1341"/>
      <c r="BK60" s="1341"/>
      <c r="BL60" s="1341"/>
      <c r="BM60" s="1341"/>
      <c r="BN60" s="1341"/>
      <c r="BO60" s="1341"/>
      <c r="BP60" s="1341"/>
      <c r="BQ60" s="1341"/>
    </row>
    <row r="61" spans="1:69" s="1342" customFormat="1" ht="21.75" customHeight="1" x14ac:dyDescent="0.25">
      <c r="A61" s="1339" t="s">
        <v>25</v>
      </c>
      <c r="B61" s="1338" t="s">
        <v>751</v>
      </c>
      <c r="C61" s="1453"/>
      <c r="D61" s="1453"/>
      <c r="E61" s="1453"/>
      <c r="F61" s="1453"/>
      <c r="G61" s="1453"/>
      <c r="H61" s="1453"/>
      <c r="I61" s="1453"/>
      <c r="J61" s="1453"/>
      <c r="K61" s="1453"/>
      <c r="L61" s="1453">
        <f t="shared" si="511"/>
        <v>1000</v>
      </c>
      <c r="M61" s="1453">
        <f t="shared" ref="M61:M62" si="512">N61+O61</f>
        <v>1000</v>
      </c>
      <c r="N61" s="1453"/>
      <c r="O61" s="1453">
        <v>1000</v>
      </c>
      <c r="P61" s="1453"/>
      <c r="Q61" s="1453"/>
      <c r="R61" s="1453"/>
      <c r="S61" s="1453">
        <f t="shared" ref="S61:S62" si="513">SUM(T61:AC61)</f>
        <v>0</v>
      </c>
      <c r="T61" s="1453"/>
      <c r="U61" s="1453"/>
      <c r="V61" s="1453"/>
      <c r="W61" s="1453"/>
      <c r="X61" s="1453"/>
      <c r="Y61" s="1453"/>
      <c r="Z61" s="1453"/>
      <c r="AA61" s="1453"/>
      <c r="AB61" s="1453"/>
      <c r="AC61" s="1453"/>
      <c r="AD61" s="1453"/>
      <c r="AE61" s="1453"/>
      <c r="AF61" s="1453"/>
      <c r="AG61" s="1453">
        <f t="shared" ref="AG61:AG62" si="514">SUM(AH61:AQ61)</f>
        <v>1000</v>
      </c>
      <c r="AH61" s="1453"/>
      <c r="AI61" s="1453"/>
      <c r="AJ61" s="1453"/>
      <c r="AK61" s="1453"/>
      <c r="AL61" s="1453"/>
      <c r="AM61" s="1453"/>
      <c r="AN61" s="1453"/>
      <c r="AO61" s="1453"/>
      <c r="AP61" s="1453"/>
      <c r="AQ61" s="1453">
        <f t="shared" ref="AQ61:AQ62" si="515">O61+R61-AC61</f>
        <v>1000</v>
      </c>
      <c r="AR61" s="1453"/>
      <c r="AS61" s="1340"/>
      <c r="AT61" s="1341"/>
      <c r="AU61" s="1341"/>
      <c r="AV61" s="1341"/>
      <c r="AW61" s="1341"/>
      <c r="AX61" s="1341"/>
      <c r="AY61" s="1341"/>
      <c r="AZ61" s="1341"/>
      <c r="BA61" s="1341"/>
      <c r="BB61" s="1341"/>
      <c r="BC61" s="1341"/>
      <c r="BD61" s="1341"/>
      <c r="BE61" s="1341"/>
      <c r="BF61" s="1341"/>
      <c r="BG61" s="1341"/>
      <c r="BH61" s="1341"/>
      <c r="BI61" s="1341"/>
      <c r="BJ61" s="1341"/>
      <c r="BK61" s="1341"/>
      <c r="BL61" s="1341"/>
      <c r="BM61" s="1341"/>
      <c r="BN61" s="1341"/>
      <c r="BO61" s="1341"/>
      <c r="BP61" s="1341"/>
      <c r="BQ61" s="1341"/>
    </row>
    <row r="62" spans="1:69" s="1342" customFormat="1" x14ac:dyDescent="0.25">
      <c r="A62" s="1339" t="s">
        <v>25</v>
      </c>
      <c r="B62" s="1338" t="s">
        <v>264</v>
      </c>
      <c r="C62" s="1453"/>
      <c r="D62" s="1453"/>
      <c r="E62" s="1453"/>
      <c r="F62" s="1453"/>
      <c r="G62" s="1453"/>
      <c r="H62" s="1453"/>
      <c r="I62" s="1453"/>
      <c r="J62" s="1453"/>
      <c r="K62" s="1453"/>
      <c r="L62" s="1453">
        <f t="shared" si="511"/>
        <v>0</v>
      </c>
      <c r="M62" s="1453">
        <f t="shared" si="512"/>
        <v>0</v>
      </c>
      <c r="N62" s="1453"/>
      <c r="O62" s="1453"/>
      <c r="P62" s="1453"/>
      <c r="Q62" s="1453"/>
      <c r="R62" s="1453"/>
      <c r="S62" s="1453">
        <f t="shared" si="513"/>
        <v>0</v>
      </c>
      <c r="T62" s="1453"/>
      <c r="U62" s="1453"/>
      <c r="V62" s="1453"/>
      <c r="W62" s="1453"/>
      <c r="X62" s="1453"/>
      <c r="Y62" s="1453"/>
      <c r="Z62" s="1453"/>
      <c r="AA62" s="1453"/>
      <c r="AB62" s="1453"/>
      <c r="AC62" s="1453"/>
      <c r="AD62" s="1453"/>
      <c r="AE62" s="1453"/>
      <c r="AF62" s="1453"/>
      <c r="AG62" s="1453">
        <f t="shared" si="514"/>
        <v>0</v>
      </c>
      <c r="AH62" s="1453"/>
      <c r="AI62" s="1453"/>
      <c r="AJ62" s="1453"/>
      <c r="AK62" s="1453"/>
      <c r="AL62" s="1453"/>
      <c r="AM62" s="1453"/>
      <c r="AN62" s="1453"/>
      <c r="AO62" s="1453"/>
      <c r="AP62" s="1453"/>
      <c r="AQ62" s="1453">
        <f t="shared" si="515"/>
        <v>0</v>
      </c>
      <c r="AR62" s="1453"/>
      <c r="AS62" s="1340"/>
      <c r="AT62" s="1341"/>
      <c r="AU62" s="1341"/>
      <c r="AV62" s="1341"/>
      <c r="AW62" s="1341"/>
      <c r="AX62" s="1341"/>
      <c r="AY62" s="1341"/>
      <c r="AZ62" s="1341"/>
      <c r="BA62" s="1341"/>
      <c r="BB62" s="1341"/>
      <c r="BC62" s="1341"/>
      <c r="BD62" s="1341"/>
      <c r="BE62" s="1341"/>
      <c r="BF62" s="1341"/>
      <c r="BG62" s="1341"/>
      <c r="BH62" s="1341"/>
      <c r="BI62" s="1341"/>
      <c r="BJ62" s="1341"/>
      <c r="BK62" s="1341"/>
      <c r="BL62" s="1341"/>
      <c r="BM62" s="1341"/>
      <c r="BN62" s="1341"/>
      <c r="BO62" s="1341"/>
      <c r="BP62" s="1341"/>
      <c r="BQ62" s="1341"/>
    </row>
    <row r="63" spans="1:69" s="1313" customFormat="1" x14ac:dyDescent="0.25">
      <c r="A63" s="1334" t="s">
        <v>5</v>
      </c>
      <c r="B63" s="1337" t="s">
        <v>754</v>
      </c>
      <c r="C63" s="1454">
        <f>SUM(C64:C66)</f>
        <v>0</v>
      </c>
      <c r="D63" s="1454">
        <f t="shared" ref="D63:AR63" si="516">SUM(D64:D66)</f>
        <v>0</v>
      </c>
      <c r="E63" s="1454">
        <f t="shared" si="516"/>
        <v>0</v>
      </c>
      <c r="F63" s="1454">
        <f t="shared" si="516"/>
        <v>0</v>
      </c>
      <c r="G63" s="1454">
        <f t="shared" si="516"/>
        <v>0</v>
      </c>
      <c r="H63" s="1454">
        <f t="shared" si="516"/>
        <v>0</v>
      </c>
      <c r="I63" s="1454">
        <f t="shared" si="516"/>
        <v>0</v>
      </c>
      <c r="J63" s="1454">
        <f t="shared" si="516"/>
        <v>0</v>
      </c>
      <c r="K63" s="1454">
        <f t="shared" si="516"/>
        <v>0</v>
      </c>
      <c r="L63" s="1454">
        <f t="shared" si="516"/>
        <v>461000</v>
      </c>
      <c r="M63" s="1454">
        <f t="shared" si="516"/>
        <v>461000</v>
      </c>
      <c r="N63" s="1454">
        <f t="shared" si="516"/>
        <v>0</v>
      </c>
      <c r="O63" s="1454">
        <f t="shared" si="516"/>
        <v>461000</v>
      </c>
      <c r="P63" s="1454">
        <f t="shared" si="516"/>
        <v>0</v>
      </c>
      <c r="Q63" s="1454">
        <f t="shared" si="516"/>
        <v>0</v>
      </c>
      <c r="R63" s="1454">
        <f t="shared" si="516"/>
        <v>0</v>
      </c>
      <c r="S63" s="1454">
        <f t="shared" si="516"/>
        <v>201053.7</v>
      </c>
      <c r="T63" s="1454">
        <f t="shared" si="516"/>
        <v>0</v>
      </c>
      <c r="U63" s="1454">
        <f t="shared" si="516"/>
        <v>0</v>
      </c>
      <c r="V63" s="1454">
        <f t="shared" si="516"/>
        <v>0</v>
      </c>
      <c r="W63" s="1454">
        <f t="shared" si="516"/>
        <v>0</v>
      </c>
      <c r="X63" s="1454">
        <f t="shared" si="516"/>
        <v>0</v>
      </c>
      <c r="Y63" s="1454">
        <f t="shared" si="516"/>
        <v>0</v>
      </c>
      <c r="Z63" s="1454">
        <f t="shared" si="516"/>
        <v>0</v>
      </c>
      <c r="AA63" s="1454">
        <f t="shared" si="516"/>
        <v>0</v>
      </c>
      <c r="AB63" s="1454">
        <f t="shared" si="516"/>
        <v>0</v>
      </c>
      <c r="AC63" s="1454">
        <f t="shared" si="516"/>
        <v>201053.7</v>
      </c>
      <c r="AD63" s="1454">
        <f t="shared" si="516"/>
        <v>0</v>
      </c>
      <c r="AE63" s="1454">
        <f t="shared" si="516"/>
        <v>0</v>
      </c>
      <c r="AF63" s="1454">
        <f t="shared" si="516"/>
        <v>0</v>
      </c>
      <c r="AG63" s="1454">
        <f t="shared" si="516"/>
        <v>259946.3</v>
      </c>
      <c r="AH63" s="1454">
        <f t="shared" si="516"/>
        <v>0</v>
      </c>
      <c r="AI63" s="1454">
        <f t="shared" si="516"/>
        <v>0</v>
      </c>
      <c r="AJ63" s="1454">
        <f t="shared" si="516"/>
        <v>0</v>
      </c>
      <c r="AK63" s="1454">
        <f t="shared" si="516"/>
        <v>0</v>
      </c>
      <c r="AL63" s="1454">
        <f t="shared" si="516"/>
        <v>0</v>
      </c>
      <c r="AM63" s="1454">
        <f t="shared" si="516"/>
        <v>0</v>
      </c>
      <c r="AN63" s="1454">
        <f t="shared" si="516"/>
        <v>0</v>
      </c>
      <c r="AO63" s="1454">
        <f t="shared" si="516"/>
        <v>0</v>
      </c>
      <c r="AP63" s="1454">
        <f t="shared" si="516"/>
        <v>0</v>
      </c>
      <c r="AQ63" s="1454">
        <f t="shared" si="516"/>
        <v>259946.3</v>
      </c>
      <c r="AR63" s="1454">
        <f t="shared" si="516"/>
        <v>0</v>
      </c>
      <c r="AS63" s="1335"/>
      <c r="AT63" s="1312"/>
      <c r="AU63" s="1312"/>
      <c r="AV63" s="1312"/>
      <c r="AW63" s="1312"/>
      <c r="AX63" s="1312"/>
      <c r="AY63" s="1312"/>
      <c r="AZ63" s="1312"/>
      <c r="BA63" s="1312"/>
      <c r="BB63" s="1312"/>
      <c r="BC63" s="1312"/>
      <c r="BD63" s="1312"/>
      <c r="BE63" s="1312"/>
      <c r="BF63" s="1312"/>
      <c r="BG63" s="1312"/>
      <c r="BH63" s="1312"/>
      <c r="BI63" s="1312"/>
      <c r="BJ63" s="1312"/>
      <c r="BK63" s="1312"/>
      <c r="BL63" s="1312"/>
      <c r="BM63" s="1312"/>
      <c r="BN63" s="1312"/>
      <c r="BO63" s="1312"/>
      <c r="BP63" s="1312"/>
      <c r="BQ63" s="1312"/>
    </row>
    <row r="64" spans="1:69" s="1342" customFormat="1" ht="21.75" customHeight="1" x14ac:dyDescent="0.25">
      <c r="A64" s="1339" t="s">
        <v>25</v>
      </c>
      <c r="B64" s="1338" t="s">
        <v>750</v>
      </c>
      <c r="C64" s="1453">
        <f>C68+C72+C76</f>
        <v>0</v>
      </c>
      <c r="D64" s="1453">
        <f t="shared" ref="D64:AR66" si="517">D68+D72+D76</f>
        <v>0</v>
      </c>
      <c r="E64" s="1453">
        <f t="shared" si="517"/>
        <v>0</v>
      </c>
      <c r="F64" s="1453">
        <f t="shared" si="517"/>
        <v>0</v>
      </c>
      <c r="G64" s="1453">
        <f t="shared" si="517"/>
        <v>0</v>
      </c>
      <c r="H64" s="1453">
        <f t="shared" si="517"/>
        <v>0</v>
      </c>
      <c r="I64" s="1453">
        <f t="shared" si="517"/>
        <v>0</v>
      </c>
      <c r="J64" s="1453">
        <f t="shared" si="517"/>
        <v>0</v>
      </c>
      <c r="K64" s="1453">
        <f t="shared" si="517"/>
        <v>0</v>
      </c>
      <c r="L64" s="1453">
        <f t="shared" si="517"/>
        <v>0</v>
      </c>
      <c r="M64" s="1453">
        <f t="shared" si="517"/>
        <v>0</v>
      </c>
      <c r="N64" s="1453">
        <f t="shared" si="517"/>
        <v>0</v>
      </c>
      <c r="O64" s="1453">
        <f t="shared" si="517"/>
        <v>0</v>
      </c>
      <c r="P64" s="1453">
        <f t="shared" si="517"/>
        <v>0</v>
      </c>
      <c r="Q64" s="1453">
        <f t="shared" si="517"/>
        <v>0</v>
      </c>
      <c r="R64" s="1453">
        <f t="shared" si="517"/>
        <v>0</v>
      </c>
      <c r="S64" s="1453">
        <f t="shared" si="517"/>
        <v>0</v>
      </c>
      <c r="T64" s="1453">
        <f t="shared" si="517"/>
        <v>0</v>
      </c>
      <c r="U64" s="1453">
        <f t="shared" si="517"/>
        <v>0</v>
      </c>
      <c r="V64" s="1453">
        <f t="shared" si="517"/>
        <v>0</v>
      </c>
      <c r="W64" s="1453">
        <f t="shared" si="517"/>
        <v>0</v>
      </c>
      <c r="X64" s="1453">
        <f t="shared" si="517"/>
        <v>0</v>
      </c>
      <c r="Y64" s="1453">
        <f t="shared" si="517"/>
        <v>0</v>
      </c>
      <c r="Z64" s="1453">
        <f t="shared" si="517"/>
        <v>0</v>
      </c>
      <c r="AA64" s="1453">
        <f t="shared" si="517"/>
        <v>0</v>
      </c>
      <c r="AB64" s="1453">
        <f t="shared" si="517"/>
        <v>0</v>
      </c>
      <c r="AC64" s="1453">
        <f t="shared" si="517"/>
        <v>0</v>
      </c>
      <c r="AD64" s="1453">
        <f t="shared" si="517"/>
        <v>0</v>
      </c>
      <c r="AE64" s="1453">
        <f t="shared" si="517"/>
        <v>0</v>
      </c>
      <c r="AF64" s="1453">
        <f t="shared" si="517"/>
        <v>0</v>
      </c>
      <c r="AG64" s="1453">
        <f t="shared" si="517"/>
        <v>0</v>
      </c>
      <c r="AH64" s="1453">
        <f t="shared" si="517"/>
        <v>0</v>
      </c>
      <c r="AI64" s="1453">
        <f t="shared" si="517"/>
        <v>0</v>
      </c>
      <c r="AJ64" s="1453">
        <f t="shared" si="517"/>
        <v>0</v>
      </c>
      <c r="AK64" s="1453">
        <f t="shared" si="517"/>
        <v>0</v>
      </c>
      <c r="AL64" s="1453">
        <f t="shared" si="517"/>
        <v>0</v>
      </c>
      <c r="AM64" s="1453">
        <f t="shared" si="517"/>
        <v>0</v>
      </c>
      <c r="AN64" s="1453">
        <f t="shared" si="517"/>
        <v>0</v>
      </c>
      <c r="AO64" s="1453">
        <f t="shared" si="517"/>
        <v>0</v>
      </c>
      <c r="AP64" s="1453">
        <f t="shared" si="517"/>
        <v>0</v>
      </c>
      <c r="AQ64" s="1453">
        <f t="shared" si="517"/>
        <v>0</v>
      </c>
      <c r="AR64" s="1453">
        <f t="shared" si="517"/>
        <v>0</v>
      </c>
      <c r="AS64" s="1340"/>
      <c r="AT64" s="1341"/>
      <c r="AU64" s="1341"/>
      <c r="AV64" s="1341"/>
      <c r="AW64" s="1341"/>
      <c r="AX64" s="1341"/>
      <c r="AY64" s="1341"/>
      <c r="AZ64" s="1341"/>
      <c r="BA64" s="1341"/>
      <c r="BB64" s="1341"/>
      <c r="BC64" s="1341"/>
      <c r="BD64" s="1341"/>
      <c r="BE64" s="1341"/>
      <c r="BF64" s="1341"/>
      <c r="BG64" s="1341"/>
      <c r="BH64" s="1341"/>
      <c r="BI64" s="1341"/>
      <c r="BJ64" s="1341"/>
      <c r="BK64" s="1341"/>
      <c r="BL64" s="1341"/>
      <c r="BM64" s="1341"/>
      <c r="BN64" s="1341"/>
      <c r="BO64" s="1341"/>
      <c r="BP64" s="1341"/>
      <c r="BQ64" s="1341"/>
    </row>
    <row r="65" spans="1:69" s="1342" customFormat="1" ht="21.75" customHeight="1" x14ac:dyDescent="0.25">
      <c r="A65" s="1339" t="s">
        <v>25</v>
      </c>
      <c r="B65" s="1338" t="s">
        <v>751</v>
      </c>
      <c r="C65" s="1453">
        <f t="shared" ref="C65:R66" si="518">C69+C73+C77</f>
        <v>0</v>
      </c>
      <c r="D65" s="1453">
        <f t="shared" si="518"/>
        <v>0</v>
      </c>
      <c r="E65" s="1453">
        <f t="shared" si="518"/>
        <v>0</v>
      </c>
      <c r="F65" s="1453">
        <f t="shared" si="518"/>
        <v>0</v>
      </c>
      <c r="G65" s="1453">
        <f t="shared" si="518"/>
        <v>0</v>
      </c>
      <c r="H65" s="1453">
        <f t="shared" si="518"/>
        <v>0</v>
      </c>
      <c r="I65" s="1453">
        <f t="shared" si="518"/>
        <v>0</v>
      </c>
      <c r="J65" s="1453">
        <f t="shared" si="518"/>
        <v>0</v>
      </c>
      <c r="K65" s="1453">
        <f t="shared" si="518"/>
        <v>0</v>
      </c>
      <c r="L65" s="1453">
        <f t="shared" si="518"/>
        <v>461000</v>
      </c>
      <c r="M65" s="1453">
        <f t="shared" si="518"/>
        <v>461000</v>
      </c>
      <c r="N65" s="1453">
        <f t="shared" si="518"/>
        <v>0</v>
      </c>
      <c r="O65" s="1453">
        <f t="shared" si="518"/>
        <v>461000</v>
      </c>
      <c r="P65" s="1453">
        <f t="shared" si="518"/>
        <v>0</v>
      </c>
      <c r="Q65" s="1453">
        <f t="shared" si="518"/>
        <v>0</v>
      </c>
      <c r="R65" s="1453">
        <f t="shared" si="518"/>
        <v>0</v>
      </c>
      <c r="S65" s="1453">
        <f t="shared" si="517"/>
        <v>201053.7</v>
      </c>
      <c r="T65" s="1453">
        <f t="shared" si="517"/>
        <v>0</v>
      </c>
      <c r="U65" s="1453">
        <f t="shared" si="517"/>
        <v>0</v>
      </c>
      <c r="V65" s="1453">
        <f t="shared" si="517"/>
        <v>0</v>
      </c>
      <c r="W65" s="1453">
        <f t="shared" si="517"/>
        <v>0</v>
      </c>
      <c r="X65" s="1453">
        <f t="shared" si="517"/>
        <v>0</v>
      </c>
      <c r="Y65" s="1453">
        <f t="shared" si="517"/>
        <v>0</v>
      </c>
      <c r="Z65" s="1453">
        <f t="shared" si="517"/>
        <v>0</v>
      </c>
      <c r="AA65" s="1453">
        <f t="shared" si="517"/>
        <v>0</v>
      </c>
      <c r="AB65" s="1453">
        <f t="shared" si="517"/>
        <v>0</v>
      </c>
      <c r="AC65" s="1453">
        <f t="shared" si="517"/>
        <v>201053.7</v>
      </c>
      <c r="AD65" s="1453">
        <f t="shared" si="517"/>
        <v>0</v>
      </c>
      <c r="AE65" s="1453">
        <f t="shared" si="517"/>
        <v>0</v>
      </c>
      <c r="AF65" s="1453">
        <f t="shared" si="517"/>
        <v>0</v>
      </c>
      <c r="AG65" s="1453">
        <f t="shared" si="517"/>
        <v>259946.3</v>
      </c>
      <c r="AH65" s="1453">
        <f t="shared" si="517"/>
        <v>0</v>
      </c>
      <c r="AI65" s="1453">
        <f t="shared" si="517"/>
        <v>0</v>
      </c>
      <c r="AJ65" s="1453">
        <f t="shared" si="517"/>
        <v>0</v>
      </c>
      <c r="AK65" s="1453">
        <f t="shared" si="517"/>
        <v>0</v>
      </c>
      <c r="AL65" s="1453">
        <f t="shared" si="517"/>
        <v>0</v>
      </c>
      <c r="AM65" s="1453">
        <f t="shared" si="517"/>
        <v>0</v>
      </c>
      <c r="AN65" s="1453">
        <f t="shared" si="517"/>
        <v>0</v>
      </c>
      <c r="AO65" s="1453">
        <f t="shared" si="517"/>
        <v>0</v>
      </c>
      <c r="AP65" s="1453">
        <f t="shared" si="517"/>
        <v>0</v>
      </c>
      <c r="AQ65" s="1453">
        <f t="shared" si="517"/>
        <v>259946.3</v>
      </c>
      <c r="AR65" s="1453">
        <f t="shared" si="517"/>
        <v>0</v>
      </c>
      <c r="AS65" s="1340"/>
      <c r="AT65" s="1341"/>
      <c r="AU65" s="1341"/>
      <c r="AV65" s="1341"/>
      <c r="AW65" s="1341"/>
      <c r="AX65" s="1341"/>
      <c r="AY65" s="1341"/>
      <c r="AZ65" s="1341"/>
      <c r="BA65" s="1341"/>
      <c r="BB65" s="1341"/>
      <c r="BC65" s="1341"/>
      <c r="BD65" s="1341"/>
      <c r="BE65" s="1341"/>
      <c r="BF65" s="1341"/>
      <c r="BG65" s="1341"/>
      <c r="BH65" s="1341"/>
      <c r="BI65" s="1341"/>
      <c r="BJ65" s="1341"/>
      <c r="BK65" s="1341"/>
      <c r="BL65" s="1341"/>
      <c r="BM65" s="1341"/>
      <c r="BN65" s="1341"/>
      <c r="BO65" s="1341"/>
      <c r="BP65" s="1341"/>
      <c r="BQ65" s="1341"/>
    </row>
    <row r="66" spans="1:69" s="1342" customFormat="1" ht="19.5" customHeight="1" x14ac:dyDescent="0.25">
      <c r="A66" s="1339" t="s">
        <v>25</v>
      </c>
      <c r="B66" s="1338" t="s">
        <v>264</v>
      </c>
      <c r="C66" s="1453">
        <f t="shared" si="518"/>
        <v>0</v>
      </c>
      <c r="D66" s="1453">
        <f t="shared" si="517"/>
        <v>0</v>
      </c>
      <c r="E66" s="1453">
        <f t="shared" si="517"/>
        <v>0</v>
      </c>
      <c r="F66" s="1453">
        <f t="shared" si="517"/>
        <v>0</v>
      </c>
      <c r="G66" s="1453">
        <f t="shared" si="517"/>
        <v>0</v>
      </c>
      <c r="H66" s="1453">
        <f t="shared" si="517"/>
        <v>0</v>
      </c>
      <c r="I66" s="1453">
        <f t="shared" si="517"/>
        <v>0</v>
      </c>
      <c r="J66" s="1453">
        <f t="shared" si="517"/>
        <v>0</v>
      </c>
      <c r="K66" s="1453">
        <f t="shared" si="517"/>
        <v>0</v>
      </c>
      <c r="L66" s="1453">
        <f t="shared" si="517"/>
        <v>0</v>
      </c>
      <c r="M66" s="1453">
        <f t="shared" si="517"/>
        <v>0</v>
      </c>
      <c r="N66" s="1453">
        <f t="shared" si="517"/>
        <v>0</v>
      </c>
      <c r="O66" s="1453">
        <f t="shared" si="517"/>
        <v>0</v>
      </c>
      <c r="P66" s="1453">
        <f t="shared" si="517"/>
        <v>0</v>
      </c>
      <c r="Q66" s="1453">
        <f t="shared" si="517"/>
        <v>0</v>
      </c>
      <c r="R66" s="1453">
        <f t="shared" si="517"/>
        <v>0</v>
      </c>
      <c r="S66" s="1453">
        <f t="shared" si="517"/>
        <v>0</v>
      </c>
      <c r="T66" s="1453">
        <f t="shared" si="517"/>
        <v>0</v>
      </c>
      <c r="U66" s="1453">
        <f t="shared" si="517"/>
        <v>0</v>
      </c>
      <c r="V66" s="1453">
        <f t="shared" si="517"/>
        <v>0</v>
      </c>
      <c r="W66" s="1453">
        <f t="shared" si="517"/>
        <v>0</v>
      </c>
      <c r="X66" s="1453">
        <f t="shared" si="517"/>
        <v>0</v>
      </c>
      <c r="Y66" s="1453">
        <f t="shared" si="517"/>
        <v>0</v>
      </c>
      <c r="Z66" s="1453">
        <f t="shared" si="517"/>
        <v>0</v>
      </c>
      <c r="AA66" s="1453">
        <f t="shared" si="517"/>
        <v>0</v>
      </c>
      <c r="AB66" s="1453">
        <f t="shared" si="517"/>
        <v>0</v>
      </c>
      <c r="AC66" s="1453">
        <f t="shared" si="517"/>
        <v>0</v>
      </c>
      <c r="AD66" s="1453">
        <f t="shared" si="517"/>
        <v>0</v>
      </c>
      <c r="AE66" s="1453">
        <f t="shared" si="517"/>
        <v>0</v>
      </c>
      <c r="AF66" s="1453">
        <f t="shared" si="517"/>
        <v>0</v>
      </c>
      <c r="AG66" s="1453">
        <f t="shared" si="517"/>
        <v>0</v>
      </c>
      <c r="AH66" s="1453">
        <f t="shared" si="517"/>
        <v>0</v>
      </c>
      <c r="AI66" s="1453">
        <f t="shared" si="517"/>
        <v>0</v>
      </c>
      <c r="AJ66" s="1453">
        <f t="shared" si="517"/>
        <v>0</v>
      </c>
      <c r="AK66" s="1453">
        <f t="shared" si="517"/>
        <v>0</v>
      </c>
      <c r="AL66" s="1453">
        <f t="shared" si="517"/>
        <v>0</v>
      </c>
      <c r="AM66" s="1453">
        <f t="shared" si="517"/>
        <v>0</v>
      </c>
      <c r="AN66" s="1453">
        <f t="shared" si="517"/>
        <v>0</v>
      </c>
      <c r="AO66" s="1453">
        <f t="shared" si="517"/>
        <v>0</v>
      </c>
      <c r="AP66" s="1453">
        <f t="shared" si="517"/>
        <v>0</v>
      </c>
      <c r="AQ66" s="1453">
        <f t="shared" si="517"/>
        <v>0</v>
      </c>
      <c r="AR66" s="1453">
        <f t="shared" si="517"/>
        <v>0</v>
      </c>
      <c r="AS66" s="1340"/>
      <c r="AT66" s="1341"/>
      <c r="AU66" s="1341"/>
      <c r="AV66" s="1341"/>
      <c r="AW66" s="1341"/>
      <c r="AX66" s="1341"/>
      <c r="AY66" s="1341"/>
      <c r="AZ66" s="1341"/>
      <c r="BA66" s="1341"/>
      <c r="BB66" s="1341"/>
      <c r="BC66" s="1341"/>
      <c r="BD66" s="1341"/>
      <c r="BE66" s="1341"/>
      <c r="BF66" s="1341"/>
      <c r="BG66" s="1341"/>
      <c r="BH66" s="1341"/>
      <c r="BI66" s="1341"/>
      <c r="BJ66" s="1341"/>
      <c r="BK66" s="1341"/>
      <c r="BL66" s="1341"/>
      <c r="BM66" s="1341"/>
      <c r="BN66" s="1341"/>
      <c r="BO66" s="1341"/>
      <c r="BP66" s="1341"/>
      <c r="BQ66" s="1341"/>
    </row>
    <row r="67" spans="1:69" s="1350" customFormat="1" ht="45" x14ac:dyDescent="0.25">
      <c r="A67" s="1351">
        <v>1</v>
      </c>
      <c r="B67" s="1458" t="s">
        <v>816</v>
      </c>
      <c r="C67" s="1455">
        <f>SUM(C68:C70)</f>
        <v>0</v>
      </c>
      <c r="D67" s="1455">
        <f t="shared" ref="D67" si="519">SUM(D68:D70)</f>
        <v>0</v>
      </c>
      <c r="E67" s="1455">
        <f t="shared" ref="E67" si="520">SUM(E68:E70)</f>
        <v>0</v>
      </c>
      <c r="F67" s="1455">
        <f t="shared" ref="F67" si="521">SUM(F68:F70)</f>
        <v>0</v>
      </c>
      <c r="G67" s="1455">
        <f t="shared" ref="G67" si="522">SUM(G68:G70)</f>
        <v>0</v>
      </c>
      <c r="H67" s="1455">
        <f t="shared" ref="H67" si="523">SUM(H68:H70)</f>
        <v>0</v>
      </c>
      <c r="I67" s="1455">
        <f t="shared" ref="I67" si="524">SUM(I68:I70)</f>
        <v>0</v>
      </c>
      <c r="J67" s="1455">
        <f t="shared" ref="J67" si="525">SUM(J68:J70)</f>
        <v>0</v>
      </c>
      <c r="K67" s="1455">
        <f t="shared" ref="K67" si="526">SUM(K68:K70)</f>
        <v>0</v>
      </c>
      <c r="L67" s="1455">
        <f t="shared" ref="L67" si="527">SUM(L68:L70)</f>
        <v>171000</v>
      </c>
      <c r="M67" s="1455">
        <f t="shared" ref="M67" si="528">SUM(M68:M70)</f>
        <v>171000</v>
      </c>
      <c r="N67" s="1455">
        <f t="shared" ref="N67" si="529">SUM(N68:N70)</f>
        <v>0</v>
      </c>
      <c r="O67" s="1455">
        <f t="shared" ref="O67" si="530">SUM(O68:O70)</f>
        <v>171000</v>
      </c>
      <c r="P67" s="1455">
        <f t="shared" ref="P67" si="531">SUM(P68:P70)</f>
        <v>0</v>
      </c>
      <c r="Q67" s="1455">
        <f t="shared" ref="Q67" si="532">SUM(Q68:Q70)</f>
        <v>0</v>
      </c>
      <c r="R67" s="1455">
        <f t="shared" ref="R67" si="533">SUM(R68:R70)</f>
        <v>0</v>
      </c>
      <c r="S67" s="1455">
        <f t="shared" ref="S67" si="534">SUM(S68:S70)</f>
        <v>111053.7</v>
      </c>
      <c r="T67" s="1455">
        <f t="shared" ref="T67" si="535">SUM(T68:T70)</f>
        <v>0</v>
      </c>
      <c r="U67" s="1455">
        <f t="shared" ref="U67" si="536">SUM(U68:U70)</f>
        <v>0</v>
      </c>
      <c r="V67" s="1455">
        <f t="shared" ref="V67" si="537">SUM(V68:V70)</f>
        <v>0</v>
      </c>
      <c r="W67" s="1455">
        <f t="shared" ref="W67" si="538">SUM(W68:W70)</f>
        <v>0</v>
      </c>
      <c r="X67" s="1455">
        <f t="shared" ref="X67" si="539">SUM(X68:X70)</f>
        <v>0</v>
      </c>
      <c r="Y67" s="1455">
        <f t="shared" ref="Y67" si="540">SUM(Y68:Y70)</f>
        <v>0</v>
      </c>
      <c r="Z67" s="1455">
        <f t="shared" ref="Z67" si="541">SUM(Z68:Z70)</f>
        <v>0</v>
      </c>
      <c r="AA67" s="1455">
        <f t="shared" ref="AA67" si="542">SUM(AA68:AA70)</f>
        <v>0</v>
      </c>
      <c r="AB67" s="1455">
        <f t="shared" ref="AB67" si="543">SUM(AB68:AB70)</f>
        <v>0</v>
      </c>
      <c r="AC67" s="1455">
        <f t="shared" ref="AC67" si="544">SUM(AC68:AC70)</f>
        <v>111053.7</v>
      </c>
      <c r="AD67" s="1455">
        <f t="shared" ref="AD67" si="545">SUM(AD68:AD70)</f>
        <v>0</v>
      </c>
      <c r="AE67" s="1455">
        <f t="shared" ref="AE67" si="546">SUM(AE68:AE70)</f>
        <v>0</v>
      </c>
      <c r="AF67" s="1455">
        <f t="shared" ref="AF67" si="547">SUM(AF68:AF70)</f>
        <v>0</v>
      </c>
      <c r="AG67" s="1455">
        <f t="shared" ref="AG67" si="548">SUM(AG68:AG70)</f>
        <v>59946.3</v>
      </c>
      <c r="AH67" s="1455">
        <f t="shared" ref="AH67" si="549">SUM(AH68:AH70)</f>
        <v>0</v>
      </c>
      <c r="AI67" s="1455">
        <f t="shared" ref="AI67" si="550">SUM(AI68:AI70)</f>
        <v>0</v>
      </c>
      <c r="AJ67" s="1455">
        <f t="shared" ref="AJ67" si="551">SUM(AJ68:AJ70)</f>
        <v>0</v>
      </c>
      <c r="AK67" s="1455">
        <f t="shared" ref="AK67" si="552">SUM(AK68:AK70)</f>
        <v>0</v>
      </c>
      <c r="AL67" s="1455">
        <f t="shared" ref="AL67" si="553">SUM(AL68:AL70)</f>
        <v>0</v>
      </c>
      <c r="AM67" s="1455">
        <f t="shared" ref="AM67" si="554">SUM(AM68:AM70)</f>
        <v>0</v>
      </c>
      <c r="AN67" s="1455">
        <f t="shared" ref="AN67" si="555">SUM(AN68:AN70)</f>
        <v>0</v>
      </c>
      <c r="AO67" s="1455">
        <f t="shared" ref="AO67" si="556">SUM(AO68:AO70)</f>
        <v>0</v>
      </c>
      <c r="AP67" s="1455">
        <f t="shared" ref="AP67" si="557">SUM(AP68:AP70)</f>
        <v>0</v>
      </c>
      <c r="AQ67" s="1455">
        <f t="shared" ref="AQ67" si="558">SUM(AQ68:AQ70)</f>
        <v>59946.3</v>
      </c>
      <c r="AR67" s="1455">
        <f t="shared" ref="AR67" si="559">SUM(AR68:AR70)</f>
        <v>0</v>
      </c>
      <c r="AS67" s="1348"/>
      <c r="AT67" s="1349"/>
      <c r="AU67" s="1349"/>
      <c r="AV67" s="1349"/>
      <c r="AW67" s="1349"/>
      <c r="AX67" s="1349"/>
      <c r="AY67" s="1349"/>
      <c r="AZ67" s="1349"/>
      <c r="BA67" s="1349"/>
      <c r="BB67" s="1349"/>
      <c r="BC67" s="1349"/>
      <c r="BD67" s="1349"/>
      <c r="BE67" s="1349"/>
      <c r="BF67" s="1349"/>
      <c r="BG67" s="1349"/>
      <c r="BH67" s="1349"/>
      <c r="BI67" s="1349"/>
      <c r="BJ67" s="1349"/>
      <c r="BK67" s="1349"/>
      <c r="BL67" s="1349"/>
      <c r="BM67" s="1349"/>
      <c r="BN67" s="1349"/>
      <c r="BO67" s="1349"/>
      <c r="BP67" s="1349"/>
      <c r="BQ67" s="1349"/>
    </row>
    <row r="68" spans="1:69" s="1342" customFormat="1" ht="21.75" customHeight="1" x14ac:dyDescent="0.25">
      <c r="A68" s="1339" t="s">
        <v>25</v>
      </c>
      <c r="B68" s="1338" t="s">
        <v>750</v>
      </c>
      <c r="C68" s="1453"/>
      <c r="D68" s="1453"/>
      <c r="E68" s="1453"/>
      <c r="F68" s="1453"/>
      <c r="G68" s="1453"/>
      <c r="H68" s="1453"/>
      <c r="I68" s="1453"/>
      <c r="J68" s="1453"/>
      <c r="K68" s="1453"/>
      <c r="L68" s="1453">
        <f t="shared" ref="L68:L70" si="560">M68+P68</f>
        <v>0</v>
      </c>
      <c r="M68" s="1453">
        <f>N68+O68</f>
        <v>0</v>
      </c>
      <c r="N68" s="1453"/>
      <c r="O68" s="1453"/>
      <c r="P68" s="1453"/>
      <c r="Q68" s="1453"/>
      <c r="R68" s="1453"/>
      <c r="S68" s="1453">
        <f>SUM(T68:AC68)</f>
        <v>0</v>
      </c>
      <c r="T68" s="1453"/>
      <c r="U68" s="1453"/>
      <c r="V68" s="1453"/>
      <c r="W68" s="1453"/>
      <c r="X68" s="1453"/>
      <c r="Y68" s="1453"/>
      <c r="Z68" s="1453"/>
      <c r="AA68" s="1453"/>
      <c r="AB68" s="1453"/>
      <c r="AC68" s="1453"/>
      <c r="AD68" s="1453"/>
      <c r="AE68" s="1453"/>
      <c r="AF68" s="1453"/>
      <c r="AG68" s="1453">
        <f>SUM(AH68:AQ68)</f>
        <v>0</v>
      </c>
      <c r="AH68" s="1453"/>
      <c r="AI68" s="1453"/>
      <c r="AJ68" s="1453"/>
      <c r="AK68" s="1453"/>
      <c r="AL68" s="1453"/>
      <c r="AM68" s="1453"/>
      <c r="AN68" s="1453"/>
      <c r="AO68" s="1453"/>
      <c r="AP68" s="1453"/>
      <c r="AQ68" s="1453">
        <f>O68+R68-AC68</f>
        <v>0</v>
      </c>
      <c r="AR68" s="1453"/>
      <c r="AS68" s="1340"/>
      <c r="AT68" s="1341"/>
      <c r="AU68" s="1341"/>
      <c r="AV68" s="1341"/>
      <c r="AW68" s="1341"/>
      <c r="AX68" s="1341"/>
      <c r="AY68" s="1341"/>
      <c r="AZ68" s="1341"/>
      <c r="BA68" s="1341"/>
      <c r="BB68" s="1341"/>
      <c r="BC68" s="1341"/>
      <c r="BD68" s="1341"/>
      <c r="BE68" s="1341"/>
      <c r="BF68" s="1341"/>
      <c r="BG68" s="1341"/>
      <c r="BH68" s="1341"/>
      <c r="BI68" s="1341"/>
      <c r="BJ68" s="1341"/>
      <c r="BK68" s="1341"/>
      <c r="BL68" s="1341"/>
      <c r="BM68" s="1341"/>
      <c r="BN68" s="1341"/>
      <c r="BO68" s="1341"/>
      <c r="BP68" s="1341"/>
      <c r="BQ68" s="1341"/>
    </row>
    <row r="69" spans="1:69" s="1342" customFormat="1" ht="21.75" customHeight="1" x14ac:dyDescent="0.25">
      <c r="A69" s="1339" t="s">
        <v>25</v>
      </c>
      <c r="B69" s="1338" t="s">
        <v>751</v>
      </c>
      <c r="C69" s="1453"/>
      <c r="D69" s="1453"/>
      <c r="E69" s="1453"/>
      <c r="F69" s="1453"/>
      <c r="G69" s="1453"/>
      <c r="H69" s="1453"/>
      <c r="I69" s="1453"/>
      <c r="J69" s="1453"/>
      <c r="K69" s="1453"/>
      <c r="L69" s="1453">
        <f t="shared" si="560"/>
        <v>171000</v>
      </c>
      <c r="M69" s="1453">
        <f t="shared" ref="M69:M70" si="561">N69+O69</f>
        <v>171000</v>
      </c>
      <c r="N69" s="1453"/>
      <c r="O69" s="1453">
        <v>171000</v>
      </c>
      <c r="P69" s="1453"/>
      <c r="Q69" s="1453"/>
      <c r="R69" s="1453"/>
      <c r="S69" s="1453">
        <f t="shared" ref="S69:S70" si="562">SUM(T69:AC69)</f>
        <v>111053.7</v>
      </c>
      <c r="T69" s="1453"/>
      <c r="U69" s="1453"/>
      <c r="V69" s="1453"/>
      <c r="W69" s="1453"/>
      <c r="X69" s="1453"/>
      <c r="Y69" s="1453"/>
      <c r="Z69" s="1453"/>
      <c r="AA69" s="1453"/>
      <c r="AB69" s="1453"/>
      <c r="AC69" s="1453">
        <v>111053.7</v>
      </c>
      <c r="AD69" s="1453"/>
      <c r="AE69" s="1453"/>
      <c r="AF69" s="1453"/>
      <c r="AG69" s="1453">
        <f t="shared" ref="AG69:AG70" si="563">SUM(AH69:AQ69)</f>
        <v>59946.3</v>
      </c>
      <c r="AH69" s="1453"/>
      <c r="AI69" s="1453"/>
      <c r="AJ69" s="1453"/>
      <c r="AK69" s="1453"/>
      <c r="AL69" s="1453"/>
      <c r="AM69" s="1453"/>
      <c r="AN69" s="1453"/>
      <c r="AO69" s="1453"/>
      <c r="AP69" s="1453"/>
      <c r="AQ69" s="1453">
        <f t="shared" ref="AQ69:AQ70" si="564">O69+R69-AC69</f>
        <v>59946.3</v>
      </c>
      <c r="AR69" s="1453"/>
      <c r="AS69" s="1340"/>
      <c r="AT69" s="1341"/>
      <c r="AU69" s="1341"/>
      <c r="AV69" s="1341"/>
      <c r="AW69" s="1341"/>
      <c r="AX69" s="1341"/>
      <c r="AY69" s="1341"/>
      <c r="AZ69" s="1341"/>
      <c r="BA69" s="1341"/>
      <c r="BB69" s="1341"/>
      <c r="BC69" s="1341"/>
      <c r="BD69" s="1341"/>
      <c r="BE69" s="1341"/>
      <c r="BF69" s="1341"/>
      <c r="BG69" s="1341"/>
      <c r="BH69" s="1341"/>
      <c r="BI69" s="1341"/>
      <c r="BJ69" s="1341"/>
      <c r="BK69" s="1341"/>
      <c r="BL69" s="1341"/>
      <c r="BM69" s="1341"/>
      <c r="BN69" s="1341"/>
      <c r="BO69" s="1341"/>
      <c r="BP69" s="1341"/>
      <c r="BQ69" s="1341"/>
    </row>
    <row r="70" spans="1:69" s="1342" customFormat="1" x14ac:dyDescent="0.25">
      <c r="A70" s="1339" t="s">
        <v>25</v>
      </c>
      <c r="B70" s="1338" t="s">
        <v>264</v>
      </c>
      <c r="C70" s="1453"/>
      <c r="D70" s="1453"/>
      <c r="E70" s="1453"/>
      <c r="F70" s="1453"/>
      <c r="G70" s="1453"/>
      <c r="H70" s="1453"/>
      <c r="I70" s="1453"/>
      <c r="J70" s="1453"/>
      <c r="K70" s="1453"/>
      <c r="L70" s="1453">
        <f t="shared" si="560"/>
        <v>0</v>
      </c>
      <c r="M70" s="1453">
        <f t="shared" si="561"/>
        <v>0</v>
      </c>
      <c r="N70" s="1453"/>
      <c r="O70" s="1453"/>
      <c r="P70" s="1453"/>
      <c r="Q70" s="1453"/>
      <c r="R70" s="1453"/>
      <c r="S70" s="1453">
        <f t="shared" si="562"/>
        <v>0</v>
      </c>
      <c r="T70" s="1453"/>
      <c r="U70" s="1453"/>
      <c r="V70" s="1453"/>
      <c r="W70" s="1453"/>
      <c r="X70" s="1453"/>
      <c r="Y70" s="1453"/>
      <c r="Z70" s="1453"/>
      <c r="AA70" s="1453"/>
      <c r="AB70" s="1453"/>
      <c r="AC70" s="1453"/>
      <c r="AD70" s="1453"/>
      <c r="AE70" s="1453"/>
      <c r="AF70" s="1453"/>
      <c r="AG70" s="1453">
        <f t="shared" si="563"/>
        <v>0</v>
      </c>
      <c r="AH70" s="1453"/>
      <c r="AI70" s="1453"/>
      <c r="AJ70" s="1453"/>
      <c r="AK70" s="1453"/>
      <c r="AL70" s="1453"/>
      <c r="AM70" s="1453"/>
      <c r="AN70" s="1453"/>
      <c r="AO70" s="1453"/>
      <c r="AP70" s="1453"/>
      <c r="AQ70" s="1453">
        <f t="shared" si="564"/>
        <v>0</v>
      </c>
      <c r="AR70" s="1453"/>
      <c r="AS70" s="1340"/>
      <c r="AT70" s="1341"/>
      <c r="AU70" s="1341"/>
      <c r="AV70" s="1341"/>
      <c r="AW70" s="1341"/>
      <c r="AX70" s="1341"/>
      <c r="AY70" s="1341"/>
      <c r="AZ70" s="1341"/>
      <c r="BA70" s="1341"/>
      <c r="BB70" s="1341"/>
      <c r="BC70" s="1341"/>
      <c r="BD70" s="1341"/>
      <c r="BE70" s="1341"/>
      <c r="BF70" s="1341"/>
      <c r="BG70" s="1341"/>
      <c r="BH70" s="1341"/>
      <c r="BI70" s="1341"/>
      <c r="BJ70" s="1341"/>
      <c r="BK70" s="1341"/>
      <c r="BL70" s="1341"/>
      <c r="BM70" s="1341"/>
      <c r="BN70" s="1341"/>
      <c r="BO70" s="1341"/>
      <c r="BP70" s="1341"/>
      <c r="BQ70" s="1341"/>
    </row>
    <row r="71" spans="1:69" s="1350" customFormat="1" ht="30" x14ac:dyDescent="0.25">
      <c r="A71" s="1351">
        <v>2</v>
      </c>
      <c r="B71" s="1459" t="s">
        <v>817</v>
      </c>
      <c r="C71" s="1455">
        <f>SUM(C72:C74)</f>
        <v>0</v>
      </c>
      <c r="D71" s="1455">
        <f t="shared" ref="D71" si="565">SUM(D72:D74)</f>
        <v>0</v>
      </c>
      <c r="E71" s="1455">
        <f t="shared" ref="E71" si="566">SUM(E72:E74)</f>
        <v>0</v>
      </c>
      <c r="F71" s="1455">
        <f t="shared" ref="F71" si="567">SUM(F72:F74)</f>
        <v>0</v>
      </c>
      <c r="G71" s="1455">
        <f t="shared" ref="G71" si="568">SUM(G72:G74)</f>
        <v>0</v>
      </c>
      <c r="H71" s="1455">
        <f t="shared" ref="H71" si="569">SUM(H72:H74)</f>
        <v>0</v>
      </c>
      <c r="I71" s="1455">
        <f t="shared" ref="I71" si="570">SUM(I72:I74)</f>
        <v>0</v>
      </c>
      <c r="J71" s="1455">
        <f t="shared" ref="J71" si="571">SUM(J72:J74)</f>
        <v>0</v>
      </c>
      <c r="K71" s="1455">
        <f t="shared" ref="K71" si="572">SUM(K72:K74)</f>
        <v>0</v>
      </c>
      <c r="L71" s="1455">
        <f t="shared" ref="L71" si="573">SUM(L72:L74)</f>
        <v>90000</v>
      </c>
      <c r="M71" s="1455">
        <f t="shared" ref="M71" si="574">SUM(M72:M74)</f>
        <v>90000</v>
      </c>
      <c r="N71" s="1455">
        <f t="shared" ref="N71" si="575">SUM(N72:N74)</f>
        <v>0</v>
      </c>
      <c r="O71" s="1455">
        <f t="shared" ref="O71" si="576">SUM(O72:O74)</f>
        <v>90000</v>
      </c>
      <c r="P71" s="1455">
        <f t="shared" ref="P71" si="577">SUM(P72:P74)</f>
        <v>0</v>
      </c>
      <c r="Q71" s="1455">
        <f t="shared" ref="Q71" si="578">SUM(Q72:Q74)</f>
        <v>0</v>
      </c>
      <c r="R71" s="1455">
        <f t="shared" ref="R71" si="579">SUM(R72:R74)</f>
        <v>0</v>
      </c>
      <c r="S71" s="1455">
        <f t="shared" ref="S71" si="580">SUM(S72:S74)</f>
        <v>90000</v>
      </c>
      <c r="T71" s="1455">
        <f t="shared" ref="T71" si="581">SUM(T72:T74)</f>
        <v>0</v>
      </c>
      <c r="U71" s="1455">
        <f t="shared" ref="U71" si="582">SUM(U72:U74)</f>
        <v>0</v>
      </c>
      <c r="V71" s="1455">
        <f t="shared" ref="V71" si="583">SUM(V72:V74)</f>
        <v>0</v>
      </c>
      <c r="W71" s="1455">
        <f t="shared" ref="W71" si="584">SUM(W72:W74)</f>
        <v>0</v>
      </c>
      <c r="X71" s="1455">
        <f t="shared" ref="X71" si="585">SUM(X72:X74)</f>
        <v>0</v>
      </c>
      <c r="Y71" s="1455">
        <f t="shared" ref="Y71" si="586">SUM(Y72:Y74)</f>
        <v>0</v>
      </c>
      <c r="Z71" s="1455">
        <f t="shared" ref="Z71" si="587">SUM(Z72:Z74)</f>
        <v>0</v>
      </c>
      <c r="AA71" s="1455">
        <f t="shared" ref="AA71" si="588">SUM(AA72:AA74)</f>
        <v>0</v>
      </c>
      <c r="AB71" s="1455">
        <f t="shared" ref="AB71" si="589">SUM(AB72:AB74)</f>
        <v>0</v>
      </c>
      <c r="AC71" s="1455">
        <f t="shared" ref="AC71" si="590">SUM(AC72:AC74)</f>
        <v>90000</v>
      </c>
      <c r="AD71" s="1455">
        <f t="shared" ref="AD71" si="591">SUM(AD72:AD74)</f>
        <v>0</v>
      </c>
      <c r="AE71" s="1455">
        <f t="shared" ref="AE71" si="592">SUM(AE72:AE74)</f>
        <v>0</v>
      </c>
      <c r="AF71" s="1455">
        <f t="shared" ref="AF71" si="593">SUM(AF72:AF74)</f>
        <v>0</v>
      </c>
      <c r="AG71" s="1455">
        <f t="shared" ref="AG71" si="594">SUM(AG72:AG74)</f>
        <v>0</v>
      </c>
      <c r="AH71" s="1455">
        <f t="shared" ref="AH71" si="595">SUM(AH72:AH74)</f>
        <v>0</v>
      </c>
      <c r="AI71" s="1455">
        <f t="shared" ref="AI71" si="596">SUM(AI72:AI74)</f>
        <v>0</v>
      </c>
      <c r="AJ71" s="1455">
        <f t="shared" ref="AJ71" si="597">SUM(AJ72:AJ74)</f>
        <v>0</v>
      </c>
      <c r="AK71" s="1455">
        <f t="shared" ref="AK71" si="598">SUM(AK72:AK74)</f>
        <v>0</v>
      </c>
      <c r="AL71" s="1455">
        <f t="shared" ref="AL71" si="599">SUM(AL72:AL74)</f>
        <v>0</v>
      </c>
      <c r="AM71" s="1455">
        <f t="shared" ref="AM71" si="600">SUM(AM72:AM74)</f>
        <v>0</v>
      </c>
      <c r="AN71" s="1455">
        <f t="shared" ref="AN71" si="601">SUM(AN72:AN74)</f>
        <v>0</v>
      </c>
      <c r="AO71" s="1455">
        <f t="shared" ref="AO71" si="602">SUM(AO72:AO74)</f>
        <v>0</v>
      </c>
      <c r="AP71" s="1455">
        <f t="shared" ref="AP71" si="603">SUM(AP72:AP74)</f>
        <v>0</v>
      </c>
      <c r="AQ71" s="1455">
        <f t="shared" ref="AQ71" si="604">SUM(AQ72:AQ74)</f>
        <v>0</v>
      </c>
      <c r="AR71" s="1455">
        <f t="shared" ref="AR71" si="605">SUM(AR72:AR74)</f>
        <v>0</v>
      </c>
      <c r="AS71" s="1348"/>
      <c r="AT71" s="1349"/>
      <c r="AU71" s="1349"/>
      <c r="AV71" s="1349"/>
      <c r="AW71" s="1349"/>
      <c r="AX71" s="1349"/>
      <c r="AY71" s="1349"/>
      <c r="AZ71" s="1349"/>
      <c r="BA71" s="1349"/>
      <c r="BB71" s="1349"/>
      <c r="BC71" s="1349"/>
      <c r="BD71" s="1349"/>
      <c r="BE71" s="1349"/>
      <c r="BF71" s="1349"/>
      <c r="BG71" s="1349"/>
      <c r="BH71" s="1349"/>
      <c r="BI71" s="1349"/>
      <c r="BJ71" s="1349"/>
      <c r="BK71" s="1349"/>
      <c r="BL71" s="1349"/>
      <c r="BM71" s="1349"/>
      <c r="BN71" s="1349"/>
      <c r="BO71" s="1349"/>
      <c r="BP71" s="1349"/>
      <c r="BQ71" s="1349"/>
    </row>
    <row r="72" spans="1:69" s="1342" customFormat="1" ht="21.75" customHeight="1" x14ac:dyDescent="0.25">
      <c r="A72" s="1339" t="s">
        <v>25</v>
      </c>
      <c r="B72" s="1338" t="s">
        <v>750</v>
      </c>
      <c r="C72" s="1453"/>
      <c r="D72" s="1453"/>
      <c r="E72" s="1453"/>
      <c r="F72" s="1453"/>
      <c r="G72" s="1453"/>
      <c r="H72" s="1453"/>
      <c r="I72" s="1453"/>
      <c r="J72" s="1453"/>
      <c r="K72" s="1453"/>
      <c r="L72" s="1453">
        <f t="shared" ref="L72:L74" si="606">M72+P72</f>
        <v>0</v>
      </c>
      <c r="M72" s="1453">
        <f>N72+O72</f>
        <v>0</v>
      </c>
      <c r="N72" s="1453"/>
      <c r="O72" s="1453"/>
      <c r="P72" s="1453"/>
      <c r="Q72" s="1453"/>
      <c r="R72" s="1453"/>
      <c r="S72" s="1453">
        <f>SUM(T72:AC72)</f>
        <v>0</v>
      </c>
      <c r="T72" s="1453"/>
      <c r="U72" s="1453"/>
      <c r="V72" s="1453"/>
      <c r="W72" s="1453"/>
      <c r="X72" s="1453"/>
      <c r="Y72" s="1453"/>
      <c r="Z72" s="1453"/>
      <c r="AA72" s="1453"/>
      <c r="AB72" s="1453"/>
      <c r="AC72" s="1453"/>
      <c r="AD72" s="1453"/>
      <c r="AE72" s="1453"/>
      <c r="AF72" s="1453"/>
      <c r="AG72" s="1453">
        <f>SUM(AH72:AQ72)</f>
        <v>0</v>
      </c>
      <c r="AH72" s="1453"/>
      <c r="AI72" s="1453"/>
      <c r="AJ72" s="1453"/>
      <c r="AK72" s="1453"/>
      <c r="AL72" s="1453"/>
      <c r="AM72" s="1453"/>
      <c r="AN72" s="1453"/>
      <c r="AO72" s="1453"/>
      <c r="AP72" s="1453"/>
      <c r="AQ72" s="1453">
        <f>O72+R72-AC72</f>
        <v>0</v>
      </c>
      <c r="AR72" s="1453"/>
      <c r="AS72" s="1340"/>
      <c r="AT72" s="1341"/>
      <c r="AU72" s="1341"/>
      <c r="AV72" s="1341"/>
      <c r="AW72" s="1341"/>
      <c r="AX72" s="1341"/>
      <c r="AY72" s="1341"/>
      <c r="AZ72" s="1341"/>
      <c r="BA72" s="1341"/>
      <c r="BB72" s="1341"/>
      <c r="BC72" s="1341"/>
      <c r="BD72" s="1341"/>
      <c r="BE72" s="1341"/>
      <c r="BF72" s="1341"/>
      <c r="BG72" s="1341"/>
      <c r="BH72" s="1341"/>
      <c r="BI72" s="1341"/>
      <c r="BJ72" s="1341"/>
      <c r="BK72" s="1341"/>
      <c r="BL72" s="1341"/>
      <c r="BM72" s="1341"/>
      <c r="BN72" s="1341"/>
      <c r="BO72" s="1341"/>
      <c r="BP72" s="1341"/>
      <c r="BQ72" s="1341"/>
    </row>
    <row r="73" spans="1:69" s="1342" customFormat="1" ht="21.75" customHeight="1" x14ac:dyDescent="0.25">
      <c r="A73" s="1339" t="s">
        <v>25</v>
      </c>
      <c r="B73" s="1338" t="s">
        <v>751</v>
      </c>
      <c r="C73" s="1453"/>
      <c r="D73" s="1453"/>
      <c r="E73" s="1453"/>
      <c r="F73" s="1453"/>
      <c r="G73" s="1453"/>
      <c r="H73" s="1453"/>
      <c r="I73" s="1453"/>
      <c r="J73" s="1453"/>
      <c r="K73" s="1453"/>
      <c r="L73" s="1453">
        <f t="shared" si="606"/>
        <v>90000</v>
      </c>
      <c r="M73" s="1453">
        <f t="shared" ref="M73:M74" si="607">N73+O73</f>
        <v>90000</v>
      </c>
      <c r="N73" s="1453"/>
      <c r="O73" s="1453">
        <v>90000</v>
      </c>
      <c r="P73" s="1453"/>
      <c r="Q73" s="1453"/>
      <c r="R73" s="1453"/>
      <c r="S73" s="1453">
        <f t="shared" ref="S73:S74" si="608">SUM(T73:AC73)</f>
        <v>90000</v>
      </c>
      <c r="T73" s="1453"/>
      <c r="U73" s="1453"/>
      <c r="V73" s="1453"/>
      <c r="W73" s="1453"/>
      <c r="X73" s="1453"/>
      <c r="Y73" s="1453"/>
      <c r="Z73" s="1453"/>
      <c r="AA73" s="1453"/>
      <c r="AB73" s="1453"/>
      <c r="AC73" s="1453">
        <v>90000</v>
      </c>
      <c r="AD73" s="1453"/>
      <c r="AE73" s="1453"/>
      <c r="AF73" s="1453"/>
      <c r="AG73" s="1453">
        <f t="shared" ref="AG73:AG74" si="609">SUM(AH73:AQ73)</f>
        <v>0</v>
      </c>
      <c r="AH73" s="1453"/>
      <c r="AI73" s="1453"/>
      <c r="AJ73" s="1453"/>
      <c r="AK73" s="1453"/>
      <c r="AL73" s="1453"/>
      <c r="AM73" s="1453"/>
      <c r="AN73" s="1453"/>
      <c r="AO73" s="1453"/>
      <c r="AP73" s="1453"/>
      <c r="AQ73" s="1453">
        <f t="shared" ref="AQ73:AQ74" si="610">O73+R73-AC73</f>
        <v>0</v>
      </c>
      <c r="AR73" s="1453"/>
      <c r="AS73" s="1340"/>
      <c r="AT73" s="1341"/>
      <c r="AU73" s="1341"/>
      <c r="AV73" s="1341"/>
      <c r="AW73" s="1341"/>
      <c r="AX73" s="1341"/>
      <c r="AY73" s="1341"/>
      <c r="AZ73" s="1341"/>
      <c r="BA73" s="1341"/>
      <c r="BB73" s="1341"/>
      <c r="BC73" s="1341"/>
      <c r="BD73" s="1341"/>
      <c r="BE73" s="1341"/>
      <c r="BF73" s="1341"/>
      <c r="BG73" s="1341"/>
      <c r="BH73" s="1341"/>
      <c r="BI73" s="1341"/>
      <c r="BJ73" s="1341"/>
      <c r="BK73" s="1341"/>
      <c r="BL73" s="1341"/>
      <c r="BM73" s="1341"/>
      <c r="BN73" s="1341"/>
      <c r="BO73" s="1341"/>
      <c r="BP73" s="1341"/>
      <c r="BQ73" s="1341"/>
    </row>
    <row r="74" spans="1:69" s="1342" customFormat="1" ht="19.5" customHeight="1" x14ac:dyDescent="0.25">
      <c r="A74" s="1339" t="s">
        <v>25</v>
      </c>
      <c r="B74" s="1338" t="s">
        <v>264</v>
      </c>
      <c r="C74" s="1453"/>
      <c r="D74" s="1453"/>
      <c r="E74" s="1453"/>
      <c r="F74" s="1453"/>
      <c r="G74" s="1453"/>
      <c r="H74" s="1453"/>
      <c r="I74" s="1453"/>
      <c r="J74" s="1453"/>
      <c r="K74" s="1453"/>
      <c r="L74" s="1453">
        <f t="shared" si="606"/>
        <v>0</v>
      </c>
      <c r="M74" s="1453">
        <f t="shared" si="607"/>
        <v>0</v>
      </c>
      <c r="N74" s="1453"/>
      <c r="O74" s="1453"/>
      <c r="P74" s="1453"/>
      <c r="Q74" s="1453"/>
      <c r="R74" s="1453"/>
      <c r="S74" s="1453">
        <f t="shared" si="608"/>
        <v>0</v>
      </c>
      <c r="T74" s="1453"/>
      <c r="U74" s="1453"/>
      <c r="V74" s="1453"/>
      <c r="W74" s="1453"/>
      <c r="X74" s="1453"/>
      <c r="Y74" s="1453"/>
      <c r="Z74" s="1453"/>
      <c r="AA74" s="1453"/>
      <c r="AB74" s="1453"/>
      <c r="AC74" s="1453"/>
      <c r="AD74" s="1453"/>
      <c r="AE74" s="1453"/>
      <c r="AF74" s="1453"/>
      <c r="AG74" s="1453">
        <f t="shared" si="609"/>
        <v>0</v>
      </c>
      <c r="AH74" s="1453"/>
      <c r="AI74" s="1453"/>
      <c r="AJ74" s="1453"/>
      <c r="AK74" s="1453"/>
      <c r="AL74" s="1453"/>
      <c r="AM74" s="1453"/>
      <c r="AN74" s="1453"/>
      <c r="AO74" s="1453"/>
      <c r="AP74" s="1453"/>
      <c r="AQ74" s="1453">
        <f t="shared" si="610"/>
        <v>0</v>
      </c>
      <c r="AR74" s="1453"/>
      <c r="AS74" s="1340"/>
      <c r="AT74" s="1341"/>
      <c r="AU74" s="1341"/>
      <c r="AV74" s="1341"/>
      <c r="AW74" s="1341"/>
      <c r="AX74" s="1341"/>
      <c r="AY74" s="1341"/>
      <c r="AZ74" s="1341"/>
      <c r="BA74" s="1341"/>
      <c r="BB74" s="1341"/>
      <c r="BC74" s="1341"/>
      <c r="BD74" s="1341"/>
      <c r="BE74" s="1341"/>
      <c r="BF74" s="1341"/>
      <c r="BG74" s="1341"/>
      <c r="BH74" s="1341"/>
      <c r="BI74" s="1341"/>
      <c r="BJ74" s="1341"/>
      <c r="BK74" s="1341"/>
      <c r="BL74" s="1341"/>
      <c r="BM74" s="1341"/>
      <c r="BN74" s="1341"/>
      <c r="BO74" s="1341"/>
      <c r="BP74" s="1341"/>
      <c r="BQ74" s="1341"/>
    </row>
    <row r="75" spans="1:69" s="1350" customFormat="1" ht="30" x14ac:dyDescent="0.25">
      <c r="A75" s="1351">
        <v>3</v>
      </c>
      <c r="B75" s="1459" t="s">
        <v>802</v>
      </c>
      <c r="C75" s="1455">
        <f>SUM(C76:C78)</f>
        <v>0</v>
      </c>
      <c r="D75" s="1455">
        <f t="shared" ref="D75" si="611">SUM(D76:D78)</f>
        <v>0</v>
      </c>
      <c r="E75" s="1455">
        <f t="shared" ref="E75" si="612">SUM(E76:E78)</f>
        <v>0</v>
      </c>
      <c r="F75" s="1455">
        <f t="shared" ref="F75" si="613">SUM(F76:F78)</f>
        <v>0</v>
      </c>
      <c r="G75" s="1455">
        <f t="shared" ref="G75" si="614">SUM(G76:G78)</f>
        <v>0</v>
      </c>
      <c r="H75" s="1455">
        <f t="shared" ref="H75" si="615">SUM(H76:H78)</f>
        <v>0</v>
      </c>
      <c r="I75" s="1455">
        <f t="shared" ref="I75" si="616">SUM(I76:I78)</f>
        <v>0</v>
      </c>
      <c r="J75" s="1455">
        <f t="shared" ref="J75" si="617">SUM(J76:J78)</f>
        <v>0</v>
      </c>
      <c r="K75" s="1455">
        <f t="shared" ref="K75" si="618">SUM(K76:K78)</f>
        <v>0</v>
      </c>
      <c r="L75" s="1455">
        <f t="shared" ref="L75" si="619">SUM(L76:L78)</f>
        <v>200000</v>
      </c>
      <c r="M75" s="1455">
        <f t="shared" ref="M75" si="620">SUM(M76:M78)</f>
        <v>200000</v>
      </c>
      <c r="N75" s="1455">
        <f t="shared" ref="N75" si="621">SUM(N76:N78)</f>
        <v>0</v>
      </c>
      <c r="O75" s="1455">
        <f t="shared" ref="O75" si="622">SUM(O76:O78)</f>
        <v>200000</v>
      </c>
      <c r="P75" s="1455">
        <f t="shared" ref="P75" si="623">SUM(P76:P78)</f>
        <v>0</v>
      </c>
      <c r="Q75" s="1455">
        <f t="shared" ref="Q75" si="624">SUM(Q76:Q78)</f>
        <v>0</v>
      </c>
      <c r="R75" s="1455">
        <f t="shared" ref="R75" si="625">SUM(R76:R78)</f>
        <v>0</v>
      </c>
      <c r="S75" s="1455">
        <f t="shared" ref="S75" si="626">SUM(S76:S78)</f>
        <v>0</v>
      </c>
      <c r="T75" s="1455">
        <f t="shared" ref="T75" si="627">SUM(T76:T78)</f>
        <v>0</v>
      </c>
      <c r="U75" s="1455">
        <f t="shared" ref="U75" si="628">SUM(U76:U78)</f>
        <v>0</v>
      </c>
      <c r="V75" s="1455">
        <f t="shared" ref="V75" si="629">SUM(V76:V78)</f>
        <v>0</v>
      </c>
      <c r="W75" s="1455">
        <f t="shared" ref="W75" si="630">SUM(W76:W78)</f>
        <v>0</v>
      </c>
      <c r="X75" s="1455">
        <f t="shared" ref="X75" si="631">SUM(X76:X78)</f>
        <v>0</v>
      </c>
      <c r="Y75" s="1455">
        <f t="shared" ref="Y75" si="632">SUM(Y76:Y78)</f>
        <v>0</v>
      </c>
      <c r="Z75" s="1455">
        <f t="shared" ref="Z75" si="633">SUM(Z76:Z78)</f>
        <v>0</v>
      </c>
      <c r="AA75" s="1455">
        <f t="shared" ref="AA75" si="634">SUM(AA76:AA78)</f>
        <v>0</v>
      </c>
      <c r="AB75" s="1455">
        <f t="shared" ref="AB75" si="635">SUM(AB76:AB78)</f>
        <v>0</v>
      </c>
      <c r="AC75" s="1455">
        <f t="shared" ref="AC75" si="636">SUM(AC76:AC78)</f>
        <v>0</v>
      </c>
      <c r="AD75" s="1455">
        <f t="shared" ref="AD75" si="637">SUM(AD76:AD78)</f>
        <v>0</v>
      </c>
      <c r="AE75" s="1455">
        <f t="shared" ref="AE75" si="638">SUM(AE76:AE78)</f>
        <v>0</v>
      </c>
      <c r="AF75" s="1455">
        <f t="shared" ref="AF75" si="639">SUM(AF76:AF78)</f>
        <v>0</v>
      </c>
      <c r="AG75" s="1455">
        <f t="shared" ref="AG75" si="640">SUM(AG76:AG78)</f>
        <v>200000</v>
      </c>
      <c r="AH75" s="1455">
        <f t="shared" ref="AH75" si="641">SUM(AH76:AH78)</f>
        <v>0</v>
      </c>
      <c r="AI75" s="1455">
        <f t="shared" ref="AI75" si="642">SUM(AI76:AI78)</f>
        <v>0</v>
      </c>
      <c r="AJ75" s="1455">
        <f t="shared" ref="AJ75" si="643">SUM(AJ76:AJ78)</f>
        <v>0</v>
      </c>
      <c r="AK75" s="1455">
        <f t="shared" ref="AK75" si="644">SUM(AK76:AK78)</f>
        <v>0</v>
      </c>
      <c r="AL75" s="1455">
        <f t="shared" ref="AL75" si="645">SUM(AL76:AL78)</f>
        <v>0</v>
      </c>
      <c r="AM75" s="1455">
        <f t="shared" ref="AM75" si="646">SUM(AM76:AM78)</f>
        <v>0</v>
      </c>
      <c r="AN75" s="1455">
        <f t="shared" ref="AN75" si="647">SUM(AN76:AN78)</f>
        <v>0</v>
      </c>
      <c r="AO75" s="1455">
        <f t="shared" ref="AO75" si="648">SUM(AO76:AO78)</f>
        <v>0</v>
      </c>
      <c r="AP75" s="1455">
        <f t="shared" ref="AP75" si="649">SUM(AP76:AP78)</f>
        <v>0</v>
      </c>
      <c r="AQ75" s="1455">
        <f t="shared" ref="AQ75" si="650">SUM(AQ76:AQ78)</f>
        <v>200000</v>
      </c>
      <c r="AR75" s="1455">
        <f t="shared" ref="AR75" si="651">SUM(AR76:AR78)</f>
        <v>0</v>
      </c>
      <c r="AS75" s="1348"/>
      <c r="AT75" s="1349"/>
      <c r="AU75" s="1349"/>
      <c r="AV75" s="1349"/>
      <c r="AW75" s="1349"/>
      <c r="AX75" s="1349"/>
      <c r="AY75" s="1349"/>
      <c r="AZ75" s="1349"/>
      <c r="BA75" s="1349"/>
      <c r="BB75" s="1349"/>
      <c r="BC75" s="1349"/>
      <c r="BD75" s="1349"/>
      <c r="BE75" s="1349"/>
      <c r="BF75" s="1349"/>
      <c r="BG75" s="1349"/>
      <c r="BH75" s="1349"/>
      <c r="BI75" s="1349"/>
      <c r="BJ75" s="1349"/>
      <c r="BK75" s="1349"/>
      <c r="BL75" s="1349"/>
      <c r="BM75" s="1349"/>
      <c r="BN75" s="1349"/>
      <c r="BO75" s="1349"/>
      <c r="BP75" s="1349"/>
      <c r="BQ75" s="1349"/>
    </row>
    <row r="76" spans="1:69" s="1342" customFormat="1" ht="21.75" customHeight="1" x14ac:dyDescent="0.25">
      <c r="A76" s="1339" t="s">
        <v>25</v>
      </c>
      <c r="B76" s="1338" t="s">
        <v>750</v>
      </c>
      <c r="C76" s="1453"/>
      <c r="D76" s="1453"/>
      <c r="E76" s="1453"/>
      <c r="F76" s="1453"/>
      <c r="G76" s="1453"/>
      <c r="H76" s="1453"/>
      <c r="I76" s="1453"/>
      <c r="J76" s="1453"/>
      <c r="K76" s="1453"/>
      <c r="L76" s="1453">
        <f t="shared" ref="L76:L78" si="652">M76+P76</f>
        <v>0</v>
      </c>
      <c r="M76" s="1453">
        <f>N76+O76</f>
        <v>0</v>
      </c>
      <c r="N76" s="1453"/>
      <c r="O76" s="1453"/>
      <c r="P76" s="1453"/>
      <c r="Q76" s="1453"/>
      <c r="R76" s="1453"/>
      <c r="S76" s="1453">
        <f>SUM(T76:AC76)</f>
        <v>0</v>
      </c>
      <c r="T76" s="1453"/>
      <c r="U76" s="1453"/>
      <c r="V76" s="1453"/>
      <c r="W76" s="1453"/>
      <c r="X76" s="1453"/>
      <c r="Y76" s="1453"/>
      <c r="Z76" s="1453"/>
      <c r="AA76" s="1453"/>
      <c r="AB76" s="1453"/>
      <c r="AC76" s="1453"/>
      <c r="AD76" s="1453"/>
      <c r="AE76" s="1453"/>
      <c r="AF76" s="1453"/>
      <c r="AG76" s="1453">
        <f>SUM(AH76:AQ76)</f>
        <v>0</v>
      </c>
      <c r="AH76" s="1453"/>
      <c r="AI76" s="1453"/>
      <c r="AJ76" s="1453"/>
      <c r="AK76" s="1453"/>
      <c r="AL76" s="1453"/>
      <c r="AM76" s="1453"/>
      <c r="AN76" s="1453"/>
      <c r="AO76" s="1453"/>
      <c r="AP76" s="1453"/>
      <c r="AQ76" s="1453">
        <f>O76+R76-AC76</f>
        <v>0</v>
      </c>
      <c r="AR76" s="1453"/>
      <c r="AS76" s="1340"/>
      <c r="AT76" s="1341"/>
      <c r="AU76" s="1341"/>
      <c r="AV76" s="1341"/>
      <c r="AW76" s="1341"/>
      <c r="AX76" s="1341"/>
      <c r="AY76" s="1341"/>
      <c r="AZ76" s="1341"/>
      <c r="BA76" s="1341"/>
      <c r="BB76" s="1341"/>
      <c r="BC76" s="1341"/>
      <c r="BD76" s="1341"/>
      <c r="BE76" s="1341"/>
      <c r="BF76" s="1341"/>
      <c r="BG76" s="1341"/>
      <c r="BH76" s="1341"/>
      <c r="BI76" s="1341"/>
      <c r="BJ76" s="1341"/>
      <c r="BK76" s="1341"/>
      <c r="BL76" s="1341"/>
      <c r="BM76" s="1341"/>
      <c r="BN76" s="1341"/>
      <c r="BO76" s="1341"/>
      <c r="BP76" s="1341"/>
      <c r="BQ76" s="1341"/>
    </row>
    <row r="77" spans="1:69" s="1342" customFormat="1" ht="21.75" customHeight="1" x14ac:dyDescent="0.25">
      <c r="A77" s="1339" t="s">
        <v>25</v>
      </c>
      <c r="B77" s="1338" t="s">
        <v>751</v>
      </c>
      <c r="C77" s="1453"/>
      <c r="D77" s="1453"/>
      <c r="E77" s="1453"/>
      <c r="F77" s="1453"/>
      <c r="G77" s="1453"/>
      <c r="H77" s="1453"/>
      <c r="I77" s="1453"/>
      <c r="J77" s="1453"/>
      <c r="K77" s="1453"/>
      <c r="L77" s="1453">
        <f t="shared" si="652"/>
        <v>200000</v>
      </c>
      <c r="M77" s="1453">
        <f t="shared" ref="M77:M78" si="653">N77+O77</f>
        <v>200000</v>
      </c>
      <c r="N77" s="1453"/>
      <c r="O77" s="1453">
        <v>200000</v>
      </c>
      <c r="P77" s="1453"/>
      <c r="Q77" s="1453"/>
      <c r="R77" s="1453"/>
      <c r="S77" s="1453">
        <f t="shared" ref="S77:S78" si="654">SUM(T77:AC77)</f>
        <v>0</v>
      </c>
      <c r="T77" s="1453"/>
      <c r="U77" s="1453"/>
      <c r="V77" s="1453"/>
      <c r="W77" s="1453"/>
      <c r="X77" s="1453"/>
      <c r="Y77" s="1453"/>
      <c r="Z77" s="1453"/>
      <c r="AA77" s="1453"/>
      <c r="AB77" s="1453"/>
      <c r="AC77" s="1453"/>
      <c r="AD77" s="1453"/>
      <c r="AE77" s="1453"/>
      <c r="AF77" s="1453"/>
      <c r="AG77" s="1453">
        <f t="shared" ref="AG77:AG78" si="655">SUM(AH77:AQ77)</f>
        <v>200000</v>
      </c>
      <c r="AH77" s="1453"/>
      <c r="AI77" s="1453"/>
      <c r="AJ77" s="1453"/>
      <c r="AK77" s="1453"/>
      <c r="AL77" s="1453"/>
      <c r="AM77" s="1453"/>
      <c r="AN77" s="1453"/>
      <c r="AO77" s="1453"/>
      <c r="AP77" s="1453"/>
      <c r="AQ77" s="1453">
        <f t="shared" ref="AQ77:AQ78" si="656">O77+R77-AC77</f>
        <v>200000</v>
      </c>
      <c r="AR77" s="1453"/>
      <c r="AS77" s="1340"/>
      <c r="AT77" s="1341"/>
      <c r="AU77" s="1341"/>
      <c r="AV77" s="1341"/>
      <c r="AW77" s="1341"/>
      <c r="AX77" s="1341"/>
      <c r="AY77" s="1341"/>
      <c r="AZ77" s="1341"/>
      <c r="BA77" s="1341"/>
      <c r="BB77" s="1341"/>
      <c r="BC77" s="1341"/>
      <c r="BD77" s="1341"/>
      <c r="BE77" s="1341"/>
      <c r="BF77" s="1341"/>
      <c r="BG77" s="1341"/>
      <c r="BH77" s="1341"/>
      <c r="BI77" s="1341"/>
      <c r="BJ77" s="1341"/>
      <c r="BK77" s="1341"/>
      <c r="BL77" s="1341"/>
      <c r="BM77" s="1341"/>
      <c r="BN77" s="1341"/>
      <c r="BO77" s="1341"/>
      <c r="BP77" s="1341"/>
      <c r="BQ77" s="1341"/>
    </row>
    <row r="78" spans="1:69" s="1342" customFormat="1" x14ac:dyDescent="0.25">
      <c r="A78" s="1460" t="s">
        <v>25</v>
      </c>
      <c r="B78" s="1461" t="s">
        <v>264</v>
      </c>
      <c r="C78" s="1462"/>
      <c r="D78" s="1462"/>
      <c r="E78" s="1462"/>
      <c r="F78" s="1462"/>
      <c r="G78" s="1462"/>
      <c r="H78" s="1462"/>
      <c r="I78" s="1462"/>
      <c r="J78" s="1462"/>
      <c r="K78" s="1462"/>
      <c r="L78" s="1462">
        <f t="shared" si="652"/>
        <v>0</v>
      </c>
      <c r="M78" s="1462">
        <f t="shared" si="653"/>
        <v>0</v>
      </c>
      <c r="N78" s="1462"/>
      <c r="O78" s="1462"/>
      <c r="P78" s="1462"/>
      <c r="Q78" s="1462"/>
      <c r="R78" s="1462"/>
      <c r="S78" s="1462">
        <f t="shared" si="654"/>
        <v>0</v>
      </c>
      <c r="T78" s="1462"/>
      <c r="U78" s="1462"/>
      <c r="V78" s="1462"/>
      <c r="W78" s="1462"/>
      <c r="X78" s="1462"/>
      <c r="Y78" s="1462"/>
      <c r="Z78" s="1462"/>
      <c r="AA78" s="1462"/>
      <c r="AB78" s="1462"/>
      <c r="AC78" s="1462"/>
      <c r="AD78" s="1462"/>
      <c r="AE78" s="1462"/>
      <c r="AF78" s="1462"/>
      <c r="AG78" s="1462">
        <f t="shared" si="655"/>
        <v>0</v>
      </c>
      <c r="AH78" s="1462"/>
      <c r="AI78" s="1462"/>
      <c r="AJ78" s="1462"/>
      <c r="AK78" s="1462"/>
      <c r="AL78" s="1462"/>
      <c r="AM78" s="1462"/>
      <c r="AN78" s="1462"/>
      <c r="AO78" s="1462"/>
      <c r="AP78" s="1462"/>
      <c r="AQ78" s="1462">
        <f t="shared" si="656"/>
        <v>0</v>
      </c>
      <c r="AR78" s="1462"/>
      <c r="AS78" s="1340"/>
      <c r="AT78" s="1341"/>
      <c r="AU78" s="1341"/>
      <c r="AV78" s="1341"/>
      <c r="AW78" s="1341"/>
      <c r="AX78" s="1341"/>
      <c r="AY78" s="1341"/>
      <c r="AZ78" s="1341"/>
      <c r="BA78" s="1341"/>
      <c r="BB78" s="1341"/>
      <c r="BC78" s="1341"/>
      <c r="BD78" s="1341"/>
      <c r="BE78" s="1341"/>
      <c r="BF78" s="1341"/>
      <c r="BG78" s="1341"/>
      <c r="BH78" s="1341"/>
      <c r="BI78" s="1341"/>
      <c r="BJ78" s="1341"/>
      <c r="BK78" s="1341"/>
      <c r="BL78" s="1341"/>
      <c r="BM78" s="1341"/>
      <c r="BN78" s="1341"/>
      <c r="BO78" s="1341"/>
      <c r="BP78" s="1341"/>
      <c r="BQ78" s="1341"/>
    </row>
    <row r="79" spans="1:69" ht="38.25" customHeight="1" x14ac:dyDescent="0.2"/>
    <row r="80" spans="1:69" ht="61.5" hidden="1" customHeight="1" x14ac:dyDescent="0.2">
      <c r="B80" s="2048" t="s">
        <v>755</v>
      </c>
      <c r="C80" s="2048"/>
      <c r="D80" s="2048"/>
      <c r="E80" s="2048"/>
      <c r="F80" s="2048"/>
      <c r="G80" s="2048"/>
      <c r="H80" s="2048"/>
      <c r="I80" s="2048"/>
      <c r="J80" s="2048"/>
      <c r="K80" s="2048"/>
      <c r="L80" s="2048"/>
      <c r="M80" s="2048"/>
      <c r="N80" s="2048"/>
      <c r="O80" s="2048"/>
      <c r="P80" s="2048"/>
      <c r="Q80" s="2048"/>
      <c r="R80" s="2048"/>
      <c r="S80" s="2048"/>
      <c r="T80" s="2048"/>
      <c r="U80" s="2048"/>
      <c r="V80" s="2048"/>
      <c r="W80" s="2048"/>
      <c r="X80" s="2048"/>
      <c r="Y80" s="2048"/>
      <c r="Z80" s="2048"/>
      <c r="AA80" s="2048"/>
      <c r="AB80" s="2048"/>
      <c r="AC80" s="2048"/>
      <c r="AD80" s="2048"/>
      <c r="AE80" s="2048"/>
      <c r="AF80" s="2048"/>
      <c r="AG80" s="2048"/>
      <c r="AH80" s="2048"/>
      <c r="AI80" s="2048"/>
      <c r="AJ80" s="2048"/>
      <c r="AK80" s="2048"/>
      <c r="AL80" s="2048"/>
      <c r="AM80" s="2048"/>
      <c r="AN80" s="2048"/>
      <c r="AO80" s="2048"/>
      <c r="AP80" s="2048"/>
      <c r="AQ80" s="2048"/>
      <c r="AR80" s="2048"/>
    </row>
    <row r="81" spans="29:45" x14ac:dyDescent="0.2">
      <c r="AC81" s="2025" t="s">
        <v>854</v>
      </c>
      <c r="AD81" s="2025"/>
      <c r="AE81" s="2025"/>
      <c r="AF81" s="2025"/>
      <c r="AG81" s="2025"/>
      <c r="AH81" s="2025"/>
      <c r="AI81" s="2025"/>
      <c r="AJ81" s="2025"/>
      <c r="AK81" s="2025"/>
      <c r="AL81" s="2025"/>
      <c r="AM81" s="2025"/>
      <c r="AN81" s="2025"/>
      <c r="AO81" s="2025"/>
      <c r="AP81" s="2025"/>
      <c r="AQ81" s="2025"/>
      <c r="AR81" s="2025"/>
      <c r="AS81" s="1320"/>
    </row>
    <row r="82" spans="29:45" x14ac:dyDescent="0.2">
      <c r="AC82" s="2026" t="s">
        <v>775</v>
      </c>
      <c r="AD82" s="2026"/>
      <c r="AE82" s="2026"/>
      <c r="AF82" s="2026"/>
      <c r="AG82" s="2026"/>
      <c r="AH82" s="2026"/>
      <c r="AI82" s="2026"/>
      <c r="AJ82" s="2026"/>
      <c r="AK82" s="2026"/>
      <c r="AL82" s="2026"/>
      <c r="AM82" s="2026"/>
      <c r="AN82" s="2026"/>
      <c r="AO82" s="2026"/>
      <c r="AP82" s="2026"/>
      <c r="AQ82" s="2026"/>
      <c r="AR82" s="2026"/>
      <c r="AS82" s="1312"/>
    </row>
    <row r="83" spans="29:45" x14ac:dyDescent="0.2">
      <c r="AC83" s="2025" t="s">
        <v>14</v>
      </c>
      <c r="AD83" s="2025"/>
      <c r="AE83" s="2025"/>
      <c r="AF83" s="2025"/>
      <c r="AG83" s="2025"/>
      <c r="AH83" s="2025"/>
      <c r="AI83" s="2025"/>
      <c r="AJ83" s="2025"/>
      <c r="AK83" s="2025"/>
      <c r="AL83" s="2025"/>
      <c r="AM83" s="2025"/>
      <c r="AN83" s="2025"/>
      <c r="AO83" s="2025"/>
      <c r="AP83" s="2025"/>
      <c r="AQ83" s="2025"/>
      <c r="AR83" s="2025"/>
      <c r="AS83" s="1353"/>
    </row>
    <row r="84" spans="29:45" x14ac:dyDescent="0.2">
      <c r="AK84" s="1320"/>
      <c r="AL84" s="1320"/>
      <c r="AM84" s="1320"/>
      <c r="AN84" s="1320"/>
      <c r="AO84" s="1320"/>
      <c r="AP84" s="1320"/>
      <c r="AQ84" s="1320"/>
      <c r="AR84" s="1320"/>
      <c r="AS84" s="1320"/>
    </row>
    <row r="90" spans="29:45" ht="21" customHeight="1" x14ac:dyDescent="0.25">
      <c r="AC90" s="2027" t="s">
        <v>460</v>
      </c>
      <c r="AD90" s="2027"/>
      <c r="AE90" s="2027"/>
      <c r="AF90" s="2027"/>
      <c r="AG90" s="2027"/>
      <c r="AH90" s="2027"/>
      <c r="AI90" s="2027"/>
      <c r="AJ90" s="2027"/>
      <c r="AK90" s="2027"/>
      <c r="AL90" s="2027"/>
      <c r="AM90" s="2027"/>
      <c r="AN90" s="2027"/>
      <c r="AO90" s="2027"/>
      <c r="AP90" s="2027"/>
      <c r="AQ90" s="2027"/>
      <c r="AR90" s="2027"/>
    </row>
  </sheetData>
  <mergeCells count="42">
    <mergeCell ref="B80:AR80"/>
    <mergeCell ref="Z6:AA6"/>
    <mergeCell ref="AB6:AC6"/>
    <mergeCell ref="AD6:AD7"/>
    <mergeCell ref="AE6:AE7"/>
    <mergeCell ref="AF6:AF7"/>
    <mergeCell ref="AG6:AG7"/>
    <mergeCell ref="M6:O6"/>
    <mergeCell ref="P6:R6"/>
    <mergeCell ref="AS5:AS7"/>
    <mergeCell ref="L6:L7"/>
    <mergeCell ref="S6:S7"/>
    <mergeCell ref="T6:U6"/>
    <mergeCell ref="V6:W6"/>
    <mergeCell ref="X6:Y6"/>
    <mergeCell ref="AD5:AF5"/>
    <mergeCell ref="AH6:AI6"/>
    <mergeCell ref="AJ6:AK6"/>
    <mergeCell ref="AL6:AM6"/>
    <mergeCell ref="AN6:AO6"/>
    <mergeCell ref="AP6:AQ6"/>
    <mergeCell ref="A1:B1"/>
    <mergeCell ref="AC1:AS1"/>
    <mergeCell ref="A2:AS2"/>
    <mergeCell ref="A3:AS3"/>
    <mergeCell ref="AP4:AS4"/>
    <mergeCell ref="AC81:AR81"/>
    <mergeCell ref="AC82:AR82"/>
    <mergeCell ref="AC83:AR83"/>
    <mergeCell ref="AC90:AR90"/>
    <mergeCell ref="A5:A7"/>
    <mergeCell ref="B5:B7"/>
    <mergeCell ref="C5:K5"/>
    <mergeCell ref="L5:R5"/>
    <mergeCell ref="S5:AC5"/>
    <mergeCell ref="C6:C7"/>
    <mergeCell ref="D6:E6"/>
    <mergeCell ref="F6:G6"/>
    <mergeCell ref="H6:I6"/>
    <mergeCell ref="J6:K6"/>
    <mergeCell ref="AG5:AQ5"/>
    <mergeCell ref="AR5:AR7"/>
  </mergeCells>
  <printOptions horizontalCentered="1"/>
  <pageMargins left="0.24" right="0.16" top="0.37" bottom="0.28000000000000003" header="0.3" footer="0.3"/>
  <pageSetup paperSize="9" scale="64" orientation="landscape"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E24"/>
    </sheetView>
  </sheetViews>
  <sheetFormatPr defaultRowHeight="16.5" x14ac:dyDescent="0.25"/>
  <cols>
    <col min="1" max="1" width="7.85546875" style="1356" customWidth="1"/>
    <col min="2" max="2" width="50.28515625" style="1356" customWidth="1"/>
    <col min="3" max="3" width="14.42578125" style="1356" customWidth="1"/>
    <col min="4" max="4" width="14.7109375" style="1356" customWidth="1"/>
    <col min="5" max="5" width="11.42578125" style="1356" customWidth="1"/>
    <col min="6" max="255" width="9.140625" style="1299"/>
    <col min="256" max="256" width="7.85546875" style="1299" customWidth="1"/>
    <col min="257" max="257" width="56.28515625" style="1299" customWidth="1"/>
    <col min="258" max="259" width="12.7109375" style="1299" customWidth="1"/>
    <col min="260" max="260" width="0" style="1299" hidden="1" customWidth="1"/>
    <col min="261" max="261" width="12.7109375" style="1299" customWidth="1"/>
    <col min="262" max="511" width="9.140625" style="1299"/>
    <col min="512" max="512" width="7.85546875" style="1299" customWidth="1"/>
    <col min="513" max="513" width="56.28515625" style="1299" customWidth="1"/>
    <col min="514" max="515" width="12.7109375" style="1299" customWidth="1"/>
    <col min="516" max="516" width="0" style="1299" hidden="1" customWidth="1"/>
    <col min="517" max="517" width="12.7109375" style="1299" customWidth="1"/>
    <col min="518" max="767" width="9.140625" style="1299"/>
    <col min="768" max="768" width="7.85546875" style="1299" customWidth="1"/>
    <col min="769" max="769" width="56.28515625" style="1299" customWidth="1"/>
    <col min="770" max="771" width="12.7109375" style="1299" customWidth="1"/>
    <col min="772" max="772" width="0" style="1299" hidden="1" customWidth="1"/>
    <col min="773" max="773" width="12.7109375" style="1299" customWidth="1"/>
    <col min="774" max="1023" width="9.140625" style="1299"/>
    <col min="1024" max="1024" width="7.85546875" style="1299" customWidth="1"/>
    <col min="1025" max="1025" width="56.28515625" style="1299" customWidth="1"/>
    <col min="1026" max="1027" width="12.7109375" style="1299" customWidth="1"/>
    <col min="1028" max="1028" width="0" style="1299" hidden="1" customWidth="1"/>
    <col min="1029" max="1029" width="12.7109375" style="1299" customWidth="1"/>
    <col min="1030" max="1279" width="9.140625" style="1299"/>
    <col min="1280" max="1280" width="7.85546875" style="1299" customWidth="1"/>
    <col min="1281" max="1281" width="56.28515625" style="1299" customWidth="1"/>
    <col min="1282" max="1283" width="12.7109375" style="1299" customWidth="1"/>
    <col min="1284" max="1284" width="0" style="1299" hidden="1" customWidth="1"/>
    <col min="1285" max="1285" width="12.7109375" style="1299" customWidth="1"/>
    <col min="1286" max="1535" width="9.140625" style="1299"/>
    <col min="1536" max="1536" width="7.85546875" style="1299" customWidth="1"/>
    <col min="1537" max="1537" width="56.28515625" style="1299" customWidth="1"/>
    <col min="1538" max="1539" width="12.7109375" style="1299" customWidth="1"/>
    <col min="1540" max="1540" width="0" style="1299" hidden="1" customWidth="1"/>
    <col min="1541" max="1541" width="12.7109375" style="1299" customWidth="1"/>
    <col min="1542" max="1791" width="9.140625" style="1299"/>
    <col min="1792" max="1792" width="7.85546875" style="1299" customWidth="1"/>
    <col min="1793" max="1793" width="56.28515625" style="1299" customWidth="1"/>
    <col min="1794" max="1795" width="12.7109375" style="1299" customWidth="1"/>
    <col min="1796" max="1796" width="0" style="1299" hidden="1" customWidth="1"/>
    <col min="1797" max="1797" width="12.7109375" style="1299" customWidth="1"/>
    <col min="1798" max="2047" width="9.140625" style="1299"/>
    <col min="2048" max="2048" width="7.85546875" style="1299" customWidth="1"/>
    <col min="2049" max="2049" width="56.28515625" style="1299" customWidth="1"/>
    <col min="2050" max="2051" width="12.7109375" style="1299" customWidth="1"/>
    <col min="2052" max="2052" width="0" style="1299" hidden="1" customWidth="1"/>
    <col min="2053" max="2053" width="12.7109375" style="1299" customWidth="1"/>
    <col min="2054" max="2303" width="9.140625" style="1299"/>
    <col min="2304" max="2304" width="7.85546875" style="1299" customWidth="1"/>
    <col min="2305" max="2305" width="56.28515625" style="1299" customWidth="1"/>
    <col min="2306" max="2307" width="12.7109375" style="1299" customWidth="1"/>
    <col min="2308" max="2308" width="0" style="1299" hidden="1" customWidth="1"/>
    <col min="2309" max="2309" width="12.7109375" style="1299" customWidth="1"/>
    <col min="2310" max="2559" width="9.140625" style="1299"/>
    <col min="2560" max="2560" width="7.85546875" style="1299" customWidth="1"/>
    <col min="2561" max="2561" width="56.28515625" style="1299" customWidth="1"/>
    <col min="2562" max="2563" width="12.7109375" style="1299" customWidth="1"/>
    <col min="2564" max="2564" width="0" style="1299" hidden="1" customWidth="1"/>
    <col min="2565" max="2565" width="12.7109375" style="1299" customWidth="1"/>
    <col min="2566" max="2815" width="9.140625" style="1299"/>
    <col min="2816" max="2816" width="7.85546875" style="1299" customWidth="1"/>
    <col min="2817" max="2817" width="56.28515625" style="1299" customWidth="1"/>
    <col min="2818" max="2819" width="12.7109375" style="1299" customWidth="1"/>
    <col min="2820" max="2820" width="0" style="1299" hidden="1" customWidth="1"/>
    <col min="2821" max="2821" width="12.7109375" style="1299" customWidth="1"/>
    <col min="2822" max="3071" width="9.140625" style="1299"/>
    <col min="3072" max="3072" width="7.85546875" style="1299" customWidth="1"/>
    <col min="3073" max="3073" width="56.28515625" style="1299" customWidth="1"/>
    <col min="3074" max="3075" width="12.7109375" style="1299" customWidth="1"/>
    <col min="3076" max="3076" width="0" style="1299" hidden="1" customWidth="1"/>
    <col min="3077" max="3077" width="12.7109375" style="1299" customWidth="1"/>
    <col min="3078" max="3327" width="9.140625" style="1299"/>
    <col min="3328" max="3328" width="7.85546875" style="1299" customWidth="1"/>
    <col min="3329" max="3329" width="56.28515625" style="1299" customWidth="1"/>
    <col min="3330" max="3331" width="12.7109375" style="1299" customWidth="1"/>
    <col min="3332" max="3332" width="0" style="1299" hidden="1" customWidth="1"/>
    <col min="3333" max="3333" width="12.7109375" style="1299" customWidth="1"/>
    <col min="3334" max="3583" width="9.140625" style="1299"/>
    <col min="3584" max="3584" width="7.85546875" style="1299" customWidth="1"/>
    <col min="3585" max="3585" width="56.28515625" style="1299" customWidth="1"/>
    <col min="3586" max="3587" width="12.7109375" style="1299" customWidth="1"/>
    <col min="3588" max="3588" width="0" style="1299" hidden="1" customWidth="1"/>
    <col min="3589" max="3589" width="12.7109375" style="1299" customWidth="1"/>
    <col min="3590" max="3839" width="9.140625" style="1299"/>
    <col min="3840" max="3840" width="7.85546875" style="1299" customWidth="1"/>
    <col min="3841" max="3841" width="56.28515625" style="1299" customWidth="1"/>
    <col min="3842" max="3843" width="12.7109375" style="1299" customWidth="1"/>
    <col min="3844" max="3844" width="0" style="1299" hidden="1" customWidth="1"/>
    <col min="3845" max="3845" width="12.7109375" style="1299" customWidth="1"/>
    <col min="3846" max="4095" width="9.140625" style="1299"/>
    <col min="4096" max="4096" width="7.85546875" style="1299" customWidth="1"/>
    <col min="4097" max="4097" width="56.28515625" style="1299" customWidth="1"/>
    <col min="4098" max="4099" width="12.7109375" style="1299" customWidth="1"/>
    <col min="4100" max="4100" width="0" style="1299" hidden="1" customWidth="1"/>
    <col min="4101" max="4101" width="12.7109375" style="1299" customWidth="1"/>
    <col min="4102" max="4351" width="9.140625" style="1299"/>
    <col min="4352" max="4352" width="7.85546875" style="1299" customWidth="1"/>
    <col min="4353" max="4353" width="56.28515625" style="1299" customWidth="1"/>
    <col min="4354" max="4355" width="12.7109375" style="1299" customWidth="1"/>
    <col min="4356" max="4356" width="0" style="1299" hidden="1" customWidth="1"/>
    <col min="4357" max="4357" width="12.7109375" style="1299" customWidth="1"/>
    <col min="4358" max="4607" width="9.140625" style="1299"/>
    <col min="4608" max="4608" width="7.85546875" style="1299" customWidth="1"/>
    <col min="4609" max="4609" width="56.28515625" style="1299" customWidth="1"/>
    <col min="4610" max="4611" width="12.7109375" style="1299" customWidth="1"/>
    <col min="4612" max="4612" width="0" style="1299" hidden="1" customWidth="1"/>
    <col min="4613" max="4613" width="12.7109375" style="1299" customWidth="1"/>
    <col min="4614" max="4863" width="9.140625" style="1299"/>
    <col min="4864" max="4864" width="7.85546875" style="1299" customWidth="1"/>
    <col min="4865" max="4865" width="56.28515625" style="1299" customWidth="1"/>
    <col min="4866" max="4867" width="12.7109375" style="1299" customWidth="1"/>
    <col min="4868" max="4868" width="0" style="1299" hidden="1" customWidth="1"/>
    <col min="4869" max="4869" width="12.7109375" style="1299" customWidth="1"/>
    <col min="4870" max="5119" width="9.140625" style="1299"/>
    <col min="5120" max="5120" width="7.85546875" style="1299" customWidth="1"/>
    <col min="5121" max="5121" width="56.28515625" style="1299" customWidth="1"/>
    <col min="5122" max="5123" width="12.7109375" style="1299" customWidth="1"/>
    <col min="5124" max="5124" width="0" style="1299" hidden="1" customWidth="1"/>
    <col min="5125" max="5125" width="12.7109375" style="1299" customWidth="1"/>
    <col min="5126" max="5375" width="9.140625" style="1299"/>
    <col min="5376" max="5376" width="7.85546875" style="1299" customWidth="1"/>
    <col min="5377" max="5377" width="56.28515625" style="1299" customWidth="1"/>
    <col min="5378" max="5379" width="12.7109375" style="1299" customWidth="1"/>
    <col min="5380" max="5380" width="0" style="1299" hidden="1" customWidth="1"/>
    <col min="5381" max="5381" width="12.7109375" style="1299" customWidth="1"/>
    <col min="5382" max="5631" width="9.140625" style="1299"/>
    <col min="5632" max="5632" width="7.85546875" style="1299" customWidth="1"/>
    <col min="5633" max="5633" width="56.28515625" style="1299" customWidth="1"/>
    <col min="5634" max="5635" width="12.7109375" style="1299" customWidth="1"/>
    <col min="5636" max="5636" width="0" style="1299" hidden="1" customWidth="1"/>
    <col min="5637" max="5637" width="12.7109375" style="1299" customWidth="1"/>
    <col min="5638" max="5887" width="9.140625" style="1299"/>
    <col min="5888" max="5888" width="7.85546875" style="1299" customWidth="1"/>
    <col min="5889" max="5889" width="56.28515625" style="1299" customWidth="1"/>
    <col min="5890" max="5891" width="12.7109375" style="1299" customWidth="1"/>
    <col min="5892" max="5892" width="0" style="1299" hidden="1" customWidth="1"/>
    <col min="5893" max="5893" width="12.7109375" style="1299" customWidth="1"/>
    <col min="5894" max="6143" width="9.140625" style="1299"/>
    <col min="6144" max="6144" width="7.85546875" style="1299" customWidth="1"/>
    <col min="6145" max="6145" width="56.28515625" style="1299" customWidth="1"/>
    <col min="6146" max="6147" width="12.7109375" style="1299" customWidth="1"/>
    <col min="6148" max="6148" width="0" style="1299" hidden="1" customWidth="1"/>
    <col min="6149" max="6149" width="12.7109375" style="1299" customWidth="1"/>
    <col min="6150" max="6399" width="9.140625" style="1299"/>
    <col min="6400" max="6400" width="7.85546875" style="1299" customWidth="1"/>
    <col min="6401" max="6401" width="56.28515625" style="1299" customWidth="1"/>
    <col min="6402" max="6403" width="12.7109375" style="1299" customWidth="1"/>
    <col min="6404" max="6404" width="0" style="1299" hidden="1" customWidth="1"/>
    <col min="6405" max="6405" width="12.7109375" style="1299" customWidth="1"/>
    <col min="6406" max="6655" width="9.140625" style="1299"/>
    <col min="6656" max="6656" width="7.85546875" style="1299" customWidth="1"/>
    <col min="6657" max="6657" width="56.28515625" style="1299" customWidth="1"/>
    <col min="6658" max="6659" width="12.7109375" style="1299" customWidth="1"/>
    <col min="6660" max="6660" width="0" style="1299" hidden="1" customWidth="1"/>
    <col min="6661" max="6661" width="12.7109375" style="1299" customWidth="1"/>
    <col min="6662" max="6911" width="9.140625" style="1299"/>
    <col min="6912" max="6912" width="7.85546875" style="1299" customWidth="1"/>
    <col min="6913" max="6913" width="56.28515625" style="1299" customWidth="1"/>
    <col min="6914" max="6915" width="12.7109375" style="1299" customWidth="1"/>
    <col min="6916" max="6916" width="0" style="1299" hidden="1" customWidth="1"/>
    <col min="6917" max="6917" width="12.7109375" style="1299" customWidth="1"/>
    <col min="6918" max="7167" width="9.140625" style="1299"/>
    <col min="7168" max="7168" width="7.85546875" style="1299" customWidth="1"/>
    <col min="7169" max="7169" width="56.28515625" style="1299" customWidth="1"/>
    <col min="7170" max="7171" width="12.7109375" style="1299" customWidth="1"/>
    <col min="7172" max="7172" width="0" style="1299" hidden="1" customWidth="1"/>
    <col min="7173" max="7173" width="12.7109375" style="1299" customWidth="1"/>
    <col min="7174" max="7423" width="9.140625" style="1299"/>
    <col min="7424" max="7424" width="7.85546875" style="1299" customWidth="1"/>
    <col min="7425" max="7425" width="56.28515625" style="1299" customWidth="1"/>
    <col min="7426" max="7427" width="12.7109375" style="1299" customWidth="1"/>
    <col min="7428" max="7428" width="0" style="1299" hidden="1" customWidth="1"/>
    <col min="7429" max="7429" width="12.7109375" style="1299" customWidth="1"/>
    <col min="7430" max="7679" width="9.140625" style="1299"/>
    <col min="7680" max="7680" width="7.85546875" style="1299" customWidth="1"/>
    <col min="7681" max="7681" width="56.28515625" style="1299" customWidth="1"/>
    <col min="7682" max="7683" width="12.7109375" style="1299" customWidth="1"/>
    <col min="7684" max="7684" width="0" style="1299" hidden="1" customWidth="1"/>
    <col min="7685" max="7685" width="12.7109375" style="1299" customWidth="1"/>
    <col min="7686" max="7935" width="9.140625" style="1299"/>
    <col min="7936" max="7936" width="7.85546875" style="1299" customWidth="1"/>
    <col min="7937" max="7937" width="56.28515625" style="1299" customWidth="1"/>
    <col min="7938" max="7939" width="12.7109375" style="1299" customWidth="1"/>
    <col min="7940" max="7940" width="0" style="1299" hidden="1" customWidth="1"/>
    <col min="7941" max="7941" width="12.7109375" style="1299" customWidth="1"/>
    <col min="7942" max="8191" width="9.140625" style="1299"/>
    <col min="8192" max="8192" width="7.85546875" style="1299" customWidth="1"/>
    <col min="8193" max="8193" width="56.28515625" style="1299" customWidth="1"/>
    <col min="8194" max="8195" width="12.7109375" style="1299" customWidth="1"/>
    <col min="8196" max="8196" width="0" style="1299" hidden="1" customWidth="1"/>
    <col min="8197" max="8197" width="12.7109375" style="1299" customWidth="1"/>
    <col min="8198" max="8447" width="9.140625" style="1299"/>
    <col min="8448" max="8448" width="7.85546875" style="1299" customWidth="1"/>
    <col min="8449" max="8449" width="56.28515625" style="1299" customWidth="1"/>
    <col min="8450" max="8451" width="12.7109375" style="1299" customWidth="1"/>
    <col min="8452" max="8452" width="0" style="1299" hidden="1" customWidth="1"/>
    <col min="8453" max="8453" width="12.7109375" style="1299" customWidth="1"/>
    <col min="8454" max="8703" width="9.140625" style="1299"/>
    <col min="8704" max="8704" width="7.85546875" style="1299" customWidth="1"/>
    <col min="8705" max="8705" width="56.28515625" style="1299" customWidth="1"/>
    <col min="8706" max="8707" width="12.7109375" style="1299" customWidth="1"/>
    <col min="8708" max="8708" width="0" style="1299" hidden="1" customWidth="1"/>
    <col min="8709" max="8709" width="12.7109375" style="1299" customWidth="1"/>
    <col min="8710" max="8959" width="9.140625" style="1299"/>
    <col min="8960" max="8960" width="7.85546875" style="1299" customWidth="1"/>
    <col min="8961" max="8961" width="56.28515625" style="1299" customWidth="1"/>
    <col min="8962" max="8963" width="12.7109375" style="1299" customWidth="1"/>
    <col min="8964" max="8964" width="0" style="1299" hidden="1" customWidth="1"/>
    <col min="8965" max="8965" width="12.7109375" style="1299" customWidth="1"/>
    <col min="8966" max="9215" width="9.140625" style="1299"/>
    <col min="9216" max="9216" width="7.85546875" style="1299" customWidth="1"/>
    <col min="9217" max="9217" width="56.28515625" style="1299" customWidth="1"/>
    <col min="9218" max="9219" width="12.7109375" style="1299" customWidth="1"/>
    <col min="9220" max="9220" width="0" style="1299" hidden="1" customWidth="1"/>
    <col min="9221" max="9221" width="12.7109375" style="1299" customWidth="1"/>
    <col min="9222" max="9471" width="9.140625" style="1299"/>
    <col min="9472" max="9472" width="7.85546875" style="1299" customWidth="1"/>
    <col min="9473" max="9473" width="56.28515625" style="1299" customWidth="1"/>
    <col min="9474" max="9475" width="12.7109375" style="1299" customWidth="1"/>
    <col min="9476" max="9476" width="0" style="1299" hidden="1" customWidth="1"/>
    <col min="9477" max="9477" width="12.7109375" style="1299" customWidth="1"/>
    <col min="9478" max="9727" width="9.140625" style="1299"/>
    <col min="9728" max="9728" width="7.85546875" style="1299" customWidth="1"/>
    <col min="9729" max="9729" width="56.28515625" style="1299" customWidth="1"/>
    <col min="9730" max="9731" width="12.7109375" style="1299" customWidth="1"/>
    <col min="9732" max="9732" width="0" style="1299" hidden="1" customWidth="1"/>
    <col min="9733" max="9733" width="12.7109375" style="1299" customWidth="1"/>
    <col min="9734" max="9983" width="9.140625" style="1299"/>
    <col min="9984" max="9984" width="7.85546875" style="1299" customWidth="1"/>
    <col min="9985" max="9985" width="56.28515625" style="1299" customWidth="1"/>
    <col min="9986" max="9987" width="12.7109375" style="1299" customWidth="1"/>
    <col min="9988" max="9988" width="0" style="1299" hidden="1" customWidth="1"/>
    <col min="9989" max="9989" width="12.7109375" style="1299" customWidth="1"/>
    <col min="9990" max="10239" width="9.140625" style="1299"/>
    <col min="10240" max="10240" width="7.85546875" style="1299" customWidth="1"/>
    <col min="10241" max="10241" width="56.28515625" style="1299" customWidth="1"/>
    <col min="10242" max="10243" width="12.7109375" style="1299" customWidth="1"/>
    <col min="10244" max="10244" width="0" style="1299" hidden="1" customWidth="1"/>
    <col min="10245" max="10245" width="12.7109375" style="1299" customWidth="1"/>
    <col min="10246" max="10495" width="9.140625" style="1299"/>
    <col min="10496" max="10496" width="7.85546875" style="1299" customWidth="1"/>
    <col min="10497" max="10497" width="56.28515625" style="1299" customWidth="1"/>
    <col min="10498" max="10499" width="12.7109375" style="1299" customWidth="1"/>
    <col min="10500" max="10500" width="0" style="1299" hidden="1" customWidth="1"/>
    <col min="10501" max="10501" width="12.7109375" style="1299" customWidth="1"/>
    <col min="10502" max="10751" width="9.140625" style="1299"/>
    <col min="10752" max="10752" width="7.85546875" style="1299" customWidth="1"/>
    <col min="10753" max="10753" width="56.28515625" style="1299" customWidth="1"/>
    <col min="10754" max="10755" width="12.7109375" style="1299" customWidth="1"/>
    <col min="10756" max="10756" width="0" style="1299" hidden="1" customWidth="1"/>
    <col min="10757" max="10757" width="12.7109375" style="1299" customWidth="1"/>
    <col min="10758" max="11007" width="9.140625" style="1299"/>
    <col min="11008" max="11008" width="7.85546875" style="1299" customWidth="1"/>
    <col min="11009" max="11009" width="56.28515625" style="1299" customWidth="1"/>
    <col min="11010" max="11011" width="12.7109375" style="1299" customWidth="1"/>
    <col min="11012" max="11012" width="0" style="1299" hidden="1" customWidth="1"/>
    <col min="11013" max="11013" width="12.7109375" style="1299" customWidth="1"/>
    <col min="11014" max="11263" width="9.140625" style="1299"/>
    <col min="11264" max="11264" width="7.85546875" style="1299" customWidth="1"/>
    <col min="11265" max="11265" width="56.28515625" style="1299" customWidth="1"/>
    <col min="11266" max="11267" width="12.7109375" style="1299" customWidth="1"/>
    <col min="11268" max="11268" width="0" style="1299" hidden="1" customWidth="1"/>
    <col min="11269" max="11269" width="12.7109375" style="1299" customWidth="1"/>
    <col min="11270" max="11519" width="9.140625" style="1299"/>
    <col min="11520" max="11520" width="7.85546875" style="1299" customWidth="1"/>
    <col min="11521" max="11521" width="56.28515625" style="1299" customWidth="1"/>
    <col min="11522" max="11523" width="12.7109375" style="1299" customWidth="1"/>
    <col min="11524" max="11524" width="0" style="1299" hidden="1" customWidth="1"/>
    <col min="11525" max="11525" width="12.7109375" style="1299" customWidth="1"/>
    <col min="11526" max="11775" width="9.140625" style="1299"/>
    <col min="11776" max="11776" width="7.85546875" style="1299" customWidth="1"/>
    <col min="11777" max="11777" width="56.28515625" style="1299" customWidth="1"/>
    <col min="11778" max="11779" width="12.7109375" style="1299" customWidth="1"/>
    <col min="11780" max="11780" width="0" style="1299" hidden="1" customWidth="1"/>
    <col min="11781" max="11781" width="12.7109375" style="1299" customWidth="1"/>
    <col min="11782" max="12031" width="9.140625" style="1299"/>
    <col min="12032" max="12032" width="7.85546875" style="1299" customWidth="1"/>
    <col min="12033" max="12033" width="56.28515625" style="1299" customWidth="1"/>
    <col min="12034" max="12035" width="12.7109375" style="1299" customWidth="1"/>
    <col min="12036" max="12036" width="0" style="1299" hidden="1" customWidth="1"/>
    <col min="12037" max="12037" width="12.7109375" style="1299" customWidth="1"/>
    <col min="12038" max="12287" width="9.140625" style="1299"/>
    <col min="12288" max="12288" width="7.85546875" style="1299" customWidth="1"/>
    <col min="12289" max="12289" width="56.28515625" style="1299" customWidth="1"/>
    <col min="12290" max="12291" width="12.7109375" style="1299" customWidth="1"/>
    <col min="12292" max="12292" width="0" style="1299" hidden="1" customWidth="1"/>
    <col min="12293" max="12293" width="12.7109375" style="1299" customWidth="1"/>
    <col min="12294" max="12543" width="9.140625" style="1299"/>
    <col min="12544" max="12544" width="7.85546875" style="1299" customWidth="1"/>
    <col min="12545" max="12545" width="56.28515625" style="1299" customWidth="1"/>
    <col min="12546" max="12547" width="12.7109375" style="1299" customWidth="1"/>
    <col min="12548" max="12548" width="0" style="1299" hidden="1" customWidth="1"/>
    <col min="12549" max="12549" width="12.7109375" style="1299" customWidth="1"/>
    <col min="12550" max="12799" width="9.140625" style="1299"/>
    <col min="12800" max="12800" width="7.85546875" style="1299" customWidth="1"/>
    <col min="12801" max="12801" width="56.28515625" style="1299" customWidth="1"/>
    <col min="12802" max="12803" width="12.7109375" style="1299" customWidth="1"/>
    <col min="12804" max="12804" width="0" style="1299" hidden="1" customWidth="1"/>
    <col min="12805" max="12805" width="12.7109375" style="1299" customWidth="1"/>
    <col min="12806" max="13055" width="9.140625" style="1299"/>
    <col min="13056" max="13056" width="7.85546875" style="1299" customWidth="1"/>
    <col min="13057" max="13057" width="56.28515625" style="1299" customWidth="1"/>
    <col min="13058" max="13059" width="12.7109375" style="1299" customWidth="1"/>
    <col min="13060" max="13060" width="0" style="1299" hidden="1" customWidth="1"/>
    <col min="13061" max="13061" width="12.7109375" style="1299" customWidth="1"/>
    <col min="13062" max="13311" width="9.140625" style="1299"/>
    <col min="13312" max="13312" width="7.85546875" style="1299" customWidth="1"/>
    <col min="13313" max="13313" width="56.28515625" style="1299" customWidth="1"/>
    <col min="13314" max="13315" width="12.7109375" style="1299" customWidth="1"/>
    <col min="13316" max="13316" width="0" style="1299" hidden="1" customWidth="1"/>
    <col min="13317" max="13317" width="12.7109375" style="1299" customWidth="1"/>
    <col min="13318" max="13567" width="9.140625" style="1299"/>
    <col min="13568" max="13568" width="7.85546875" style="1299" customWidth="1"/>
    <col min="13569" max="13569" width="56.28515625" style="1299" customWidth="1"/>
    <col min="13570" max="13571" width="12.7109375" style="1299" customWidth="1"/>
    <col min="13572" max="13572" width="0" style="1299" hidden="1" customWidth="1"/>
    <col min="13573" max="13573" width="12.7109375" style="1299" customWidth="1"/>
    <col min="13574" max="13823" width="9.140625" style="1299"/>
    <col min="13824" max="13824" width="7.85546875" style="1299" customWidth="1"/>
    <col min="13825" max="13825" width="56.28515625" style="1299" customWidth="1"/>
    <col min="13826" max="13827" width="12.7109375" style="1299" customWidth="1"/>
    <col min="13828" max="13828" width="0" style="1299" hidden="1" customWidth="1"/>
    <col min="13829" max="13829" width="12.7109375" style="1299" customWidth="1"/>
    <col min="13830" max="14079" width="9.140625" style="1299"/>
    <col min="14080" max="14080" width="7.85546875" style="1299" customWidth="1"/>
    <col min="14081" max="14081" width="56.28515625" style="1299" customWidth="1"/>
    <col min="14082" max="14083" width="12.7109375" style="1299" customWidth="1"/>
    <col min="14084" max="14084" width="0" style="1299" hidden="1" customWidth="1"/>
    <col min="14085" max="14085" width="12.7109375" style="1299" customWidth="1"/>
    <col min="14086" max="14335" width="9.140625" style="1299"/>
    <col min="14336" max="14336" width="7.85546875" style="1299" customWidth="1"/>
    <col min="14337" max="14337" width="56.28515625" style="1299" customWidth="1"/>
    <col min="14338" max="14339" width="12.7109375" style="1299" customWidth="1"/>
    <col min="14340" max="14340" width="0" style="1299" hidden="1" customWidth="1"/>
    <col min="14341" max="14341" width="12.7109375" style="1299" customWidth="1"/>
    <col min="14342" max="14591" width="9.140625" style="1299"/>
    <col min="14592" max="14592" width="7.85546875" style="1299" customWidth="1"/>
    <col min="14593" max="14593" width="56.28515625" style="1299" customWidth="1"/>
    <col min="14594" max="14595" width="12.7109375" style="1299" customWidth="1"/>
    <col min="14596" max="14596" width="0" style="1299" hidden="1" customWidth="1"/>
    <col min="14597" max="14597" width="12.7109375" style="1299" customWidth="1"/>
    <col min="14598" max="14847" width="9.140625" style="1299"/>
    <col min="14848" max="14848" width="7.85546875" style="1299" customWidth="1"/>
    <col min="14849" max="14849" width="56.28515625" style="1299" customWidth="1"/>
    <col min="14850" max="14851" width="12.7109375" style="1299" customWidth="1"/>
    <col min="14852" max="14852" width="0" style="1299" hidden="1" customWidth="1"/>
    <col min="14853" max="14853" width="12.7109375" style="1299" customWidth="1"/>
    <col min="14854" max="15103" width="9.140625" style="1299"/>
    <col min="15104" max="15104" width="7.85546875" style="1299" customWidth="1"/>
    <col min="15105" max="15105" width="56.28515625" style="1299" customWidth="1"/>
    <col min="15106" max="15107" width="12.7109375" style="1299" customWidth="1"/>
    <col min="15108" max="15108" width="0" style="1299" hidden="1" customWidth="1"/>
    <col min="15109" max="15109" width="12.7109375" style="1299" customWidth="1"/>
    <col min="15110" max="15359" width="9.140625" style="1299"/>
    <col min="15360" max="15360" width="7.85546875" style="1299" customWidth="1"/>
    <col min="15361" max="15361" width="56.28515625" style="1299" customWidth="1"/>
    <col min="15362" max="15363" width="12.7109375" style="1299" customWidth="1"/>
    <col min="15364" max="15364" width="0" style="1299" hidden="1" customWidth="1"/>
    <col min="15365" max="15365" width="12.7109375" style="1299" customWidth="1"/>
    <col min="15366" max="15615" width="9.140625" style="1299"/>
    <col min="15616" max="15616" width="7.85546875" style="1299" customWidth="1"/>
    <col min="15617" max="15617" width="56.28515625" style="1299" customWidth="1"/>
    <col min="15618" max="15619" width="12.7109375" style="1299" customWidth="1"/>
    <col min="15620" max="15620" width="0" style="1299" hidden="1" customWidth="1"/>
    <col min="15621" max="15621" width="12.7109375" style="1299" customWidth="1"/>
    <col min="15622" max="15871" width="9.140625" style="1299"/>
    <col min="15872" max="15872" width="7.85546875" style="1299" customWidth="1"/>
    <col min="15873" max="15873" width="56.28515625" style="1299" customWidth="1"/>
    <col min="15874" max="15875" width="12.7109375" style="1299" customWidth="1"/>
    <col min="15876" max="15876" width="0" style="1299" hidden="1" customWidth="1"/>
    <col min="15877" max="15877" width="12.7109375" style="1299" customWidth="1"/>
    <col min="15878" max="16127" width="9.140625" style="1299"/>
    <col min="16128" max="16128" width="7.85546875" style="1299" customWidth="1"/>
    <col min="16129" max="16129" width="56.28515625" style="1299" customWidth="1"/>
    <col min="16130" max="16131" width="12.7109375" style="1299" customWidth="1"/>
    <col min="16132" max="16132" width="0" style="1299" hidden="1" customWidth="1"/>
    <col min="16133" max="16133" width="12.7109375" style="1299" customWidth="1"/>
    <col min="16134" max="16384" width="9.140625" style="1299"/>
  </cols>
  <sheetData>
    <row r="1" spans="1:6" ht="23.25" customHeight="1" x14ac:dyDescent="0.25">
      <c r="A1" s="1357" t="str">
        <f>'48N'!A1</f>
        <v>UBND PHƯỜNG ĐỨC XUÂN</v>
      </c>
      <c r="E1" s="1475" t="s">
        <v>756</v>
      </c>
    </row>
    <row r="2" spans="1:6" ht="23.25" customHeight="1" x14ac:dyDescent="0.25">
      <c r="A2" s="2015" t="s">
        <v>822</v>
      </c>
      <c r="B2" s="2015"/>
      <c r="C2" s="2015"/>
      <c r="D2" s="2015"/>
      <c r="E2" s="2015"/>
    </row>
    <row r="3" spans="1:6" ht="23.25" customHeight="1" x14ac:dyDescent="0.25">
      <c r="A3" s="1772" t="str">
        <f>'48N'!A4:F4</f>
        <v>(Kèm theo Tờ trình số    /TTr-KTHT&amp;ĐT ngày      /4/2026 của phòng KTHT&amp;ĐT phường Đức Xuân)</v>
      </c>
      <c r="B3" s="1772"/>
      <c r="C3" s="1772"/>
      <c r="D3" s="1772"/>
      <c r="E3" s="1772"/>
    </row>
    <row r="4" spans="1:6" ht="23.25" customHeight="1" x14ac:dyDescent="0.25">
      <c r="D4" s="2055" t="s">
        <v>715</v>
      </c>
      <c r="E4" s="2055"/>
    </row>
    <row r="5" spans="1:6" ht="19.5" customHeight="1" x14ac:dyDescent="0.25">
      <c r="A5" s="2017" t="s">
        <v>1</v>
      </c>
      <c r="B5" s="2017" t="s">
        <v>2</v>
      </c>
      <c r="C5" s="2017" t="s">
        <v>723</v>
      </c>
      <c r="D5" s="2056" t="s">
        <v>36</v>
      </c>
      <c r="E5" s="2056"/>
      <c r="F5" s="1358"/>
    </row>
    <row r="6" spans="1:6" ht="19.5" customHeight="1" x14ac:dyDescent="0.25">
      <c r="A6" s="2018"/>
      <c r="B6" s="2018"/>
      <c r="C6" s="2018"/>
      <c r="D6" s="1359" t="s">
        <v>757</v>
      </c>
      <c r="E6" s="1359" t="s">
        <v>758</v>
      </c>
      <c r="F6" s="1360"/>
    </row>
    <row r="7" spans="1:6" s="1362" customFormat="1" ht="19.5" customHeight="1" x14ac:dyDescent="0.25">
      <c r="A7" s="1361" t="s">
        <v>4</v>
      </c>
      <c r="B7" s="1361" t="s">
        <v>5</v>
      </c>
      <c r="C7" s="1361" t="s">
        <v>724</v>
      </c>
      <c r="D7" s="1361">
        <v>2</v>
      </c>
      <c r="E7" s="1361">
        <v>3</v>
      </c>
    </row>
    <row r="8" spans="1:6" s="1365" customFormat="1" ht="28.5" customHeight="1" x14ac:dyDescent="0.25">
      <c r="A8" s="1363">
        <v>1</v>
      </c>
      <c r="B8" s="1364" t="s">
        <v>759</v>
      </c>
      <c r="C8" s="1471">
        <f>SUM(C9:C10)</f>
        <v>5000000</v>
      </c>
      <c r="D8" s="1471">
        <f t="shared" ref="D8:E8" si="0">SUM(D9:D10)</f>
        <v>5000000</v>
      </c>
      <c r="E8" s="1471">
        <f t="shared" si="0"/>
        <v>0</v>
      </c>
    </row>
    <row r="9" spans="1:6" ht="28.5" customHeight="1" x14ac:dyDescent="0.25">
      <c r="A9" s="1366" t="s">
        <v>534</v>
      </c>
      <c r="B9" s="1367" t="s">
        <v>760</v>
      </c>
      <c r="C9" s="1472"/>
      <c r="D9" s="1472"/>
      <c r="E9" s="1472"/>
    </row>
    <row r="10" spans="1:6" ht="38.25" customHeight="1" x14ac:dyDescent="0.25">
      <c r="A10" s="1366" t="s">
        <v>534</v>
      </c>
      <c r="B10" s="1505" t="s">
        <v>761</v>
      </c>
      <c r="C10" s="1472">
        <f>D10+E10</f>
        <v>5000000</v>
      </c>
      <c r="D10" s="1472">
        <v>5000000</v>
      </c>
      <c r="E10" s="1472"/>
    </row>
    <row r="11" spans="1:6" s="1365" customFormat="1" ht="28.5" customHeight="1" x14ac:dyDescent="0.25">
      <c r="A11" s="1368">
        <v>2</v>
      </c>
      <c r="B11" s="1369" t="s">
        <v>762</v>
      </c>
      <c r="C11" s="1472">
        <f t="shared" ref="C11:C15" si="1">D11+E11</f>
        <v>0</v>
      </c>
      <c r="D11" s="1469"/>
      <c r="E11" s="1469"/>
      <c r="F11" s="1299"/>
    </row>
    <row r="12" spans="1:6" ht="28.5" customHeight="1" x14ac:dyDescent="0.25">
      <c r="A12" s="1370" t="s">
        <v>32</v>
      </c>
      <c r="B12" s="1298" t="s">
        <v>763</v>
      </c>
      <c r="C12" s="1472">
        <f t="shared" si="1"/>
        <v>0</v>
      </c>
      <c r="D12" s="1468"/>
      <c r="E12" s="1468"/>
    </row>
    <row r="13" spans="1:6" ht="28.5" customHeight="1" x14ac:dyDescent="0.25">
      <c r="A13" s="1370" t="s">
        <v>33</v>
      </c>
      <c r="B13" s="1371" t="s">
        <v>764</v>
      </c>
      <c r="C13" s="1472">
        <f t="shared" si="1"/>
        <v>0</v>
      </c>
      <c r="D13" s="1468"/>
      <c r="E13" s="1468"/>
    </row>
    <row r="14" spans="1:6" s="1374" customFormat="1" ht="28.5" customHeight="1" x14ac:dyDescent="0.25">
      <c r="A14" s="1372">
        <v>3</v>
      </c>
      <c r="B14" s="1373" t="s">
        <v>765</v>
      </c>
      <c r="C14" s="1471">
        <f>C15</f>
        <v>5000000</v>
      </c>
      <c r="D14" s="1471">
        <f t="shared" ref="D14:E14" si="2">D15</f>
        <v>5000000</v>
      </c>
      <c r="E14" s="1471">
        <f t="shared" si="2"/>
        <v>0</v>
      </c>
    </row>
    <row r="15" spans="1:6" ht="28.5" customHeight="1" x14ac:dyDescent="0.25">
      <c r="A15" s="1473" t="s">
        <v>534</v>
      </c>
      <c r="B15" s="1474" t="s">
        <v>766</v>
      </c>
      <c r="C15" s="1470">
        <f t="shared" si="1"/>
        <v>5000000</v>
      </c>
      <c r="D15" s="1470">
        <v>5000000</v>
      </c>
      <c r="E15" s="1470"/>
    </row>
    <row r="17" spans="2:7" x14ac:dyDescent="0.25">
      <c r="B17" s="1300"/>
      <c r="C17" s="2058" t="s">
        <v>854</v>
      </c>
      <c r="D17" s="2058"/>
      <c r="E17" s="2058"/>
      <c r="F17" s="1300"/>
      <c r="G17" s="1300"/>
    </row>
    <row r="18" spans="2:7" ht="40.5" customHeight="1" x14ac:dyDescent="0.25">
      <c r="B18" s="1301"/>
      <c r="C18" s="2057" t="s">
        <v>775</v>
      </c>
      <c r="D18" s="2057"/>
      <c r="E18" s="2057"/>
      <c r="F18" s="1301"/>
      <c r="G18" s="1301"/>
    </row>
    <row r="19" spans="2:7" x14ac:dyDescent="0.25">
      <c r="B19" s="1299"/>
      <c r="C19" s="2053" t="s">
        <v>14</v>
      </c>
      <c r="D19" s="2053"/>
      <c r="E19" s="2053"/>
      <c r="F19" s="1375"/>
      <c r="G19" s="1375"/>
    </row>
    <row r="24" spans="2:7" x14ac:dyDescent="0.25">
      <c r="C24" s="2054" t="s">
        <v>460</v>
      </c>
      <c r="D24" s="2054"/>
      <c r="E24" s="2054"/>
    </row>
  </sheetData>
  <mergeCells count="11">
    <mergeCell ref="C19:E19"/>
    <mergeCell ref="C24:E24"/>
    <mergeCell ref="A2:E2"/>
    <mergeCell ref="D4:E4"/>
    <mergeCell ref="A5:A6"/>
    <mergeCell ref="B5:B6"/>
    <mergeCell ref="C5:C6"/>
    <mergeCell ref="D5:E5"/>
    <mergeCell ref="A3:E3"/>
    <mergeCell ref="C18:E18"/>
    <mergeCell ref="C17:E17"/>
  </mergeCells>
  <printOptions horizontalCentered="1"/>
  <pageMargins left="0.3" right="0.23"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zoomScale="115" zoomScaleNormal="115" zoomScaleSheetLayoutView="85" workbookViewId="0">
      <selection activeCell="H40" sqref="H40"/>
    </sheetView>
  </sheetViews>
  <sheetFormatPr defaultRowHeight="15" x14ac:dyDescent="0.25"/>
  <cols>
    <col min="1" max="1" width="5.7109375" style="92" customWidth="1"/>
    <col min="2" max="2" width="60.7109375" style="92" customWidth="1"/>
    <col min="3" max="3" width="14.85546875" style="92" customWidth="1"/>
    <col min="4" max="4" width="14.42578125" style="535" customWidth="1"/>
    <col min="5" max="5" width="8.28515625" style="976" customWidth="1"/>
    <col min="6" max="6" width="10.140625" style="92" bestFit="1" customWidth="1"/>
    <col min="7" max="16384" width="9.140625" style="92"/>
  </cols>
  <sheetData>
    <row r="1" spans="1:6" ht="15.75" customHeight="1" x14ac:dyDescent="0.25">
      <c r="A1" s="156" t="str">
        <f>'48N'!A1</f>
        <v>UBND PHƯỜNG ĐỨC XUÂN</v>
      </c>
      <c r="D1" s="1774" t="s">
        <v>543</v>
      </c>
      <c r="E1" s="1774"/>
    </row>
    <row r="2" spans="1:6" ht="12" customHeight="1" x14ac:dyDescent="0.25">
      <c r="A2" s="156"/>
      <c r="E2" s="884"/>
    </row>
    <row r="3" spans="1:6" ht="16.149999999999999" customHeight="1" x14ac:dyDescent="0.25">
      <c r="A3" s="1757" t="s">
        <v>536</v>
      </c>
      <c r="B3" s="1757"/>
      <c r="C3" s="1757"/>
      <c r="D3" s="1757"/>
      <c r="E3" s="1757"/>
    </row>
    <row r="4" spans="1:6" ht="21" customHeight="1" x14ac:dyDescent="0.25">
      <c r="A4" s="1772" t="str">
        <f>'48N'!A4:F4</f>
        <v>(Kèm theo Tờ trình số    /TTr-KTHT&amp;ĐT ngày      /4/2026 của phòng KTHT&amp;ĐT phường Đức Xuân)</v>
      </c>
      <c r="B4" s="1772"/>
      <c r="C4" s="1772"/>
      <c r="D4" s="1772"/>
      <c r="E4" s="1772"/>
    </row>
    <row r="5" spans="1:6" ht="21.75" customHeight="1" x14ac:dyDescent="0.25">
      <c r="C5" s="1773" t="s">
        <v>427</v>
      </c>
      <c r="D5" s="1773"/>
      <c r="E5" s="1773"/>
    </row>
    <row r="6" spans="1:6" ht="34.9" customHeight="1" x14ac:dyDescent="0.25">
      <c r="A6" s="885" t="s">
        <v>1</v>
      </c>
      <c r="B6" s="885" t="s">
        <v>2</v>
      </c>
      <c r="C6" s="885" t="s">
        <v>3</v>
      </c>
      <c r="D6" s="960" t="s">
        <v>169</v>
      </c>
      <c r="E6" s="459" t="s">
        <v>183</v>
      </c>
    </row>
    <row r="7" spans="1:6" ht="15.75" x14ac:dyDescent="0.25">
      <c r="A7" s="885" t="s">
        <v>4</v>
      </c>
      <c r="B7" s="885" t="s">
        <v>5</v>
      </c>
      <c r="C7" s="885">
        <v>1</v>
      </c>
      <c r="D7" s="961">
        <v>2</v>
      </c>
      <c r="E7" s="885" t="s">
        <v>197</v>
      </c>
    </row>
    <row r="8" spans="1:6" s="156" customFormat="1" ht="16.899999999999999" customHeight="1" x14ac:dyDescent="0.2">
      <c r="A8" s="858"/>
      <c r="B8" s="859" t="s">
        <v>60</v>
      </c>
      <c r="C8" s="860">
        <f>SUM(C9,C21)</f>
        <v>131541000</v>
      </c>
      <c r="D8" s="855">
        <f>SUM(D9,D21,D38)</f>
        <v>178645584.73699996</v>
      </c>
      <c r="E8" s="962">
        <f>D8/C8%</f>
        <v>135.80981194988632</v>
      </c>
    </row>
    <row r="9" spans="1:6" s="156" customFormat="1" ht="19.149999999999999" customHeight="1" x14ac:dyDescent="0.2">
      <c r="A9" s="858" t="s">
        <v>4</v>
      </c>
      <c r="B9" s="859" t="s">
        <v>65</v>
      </c>
      <c r="C9" s="860">
        <f>SUM(C10,C14,C17,C18,C19,C20)</f>
        <v>130544000</v>
      </c>
      <c r="D9" s="860">
        <f>SUM(D10,D14,D17,D18,D19,D20)</f>
        <v>153942243.87499997</v>
      </c>
      <c r="E9" s="962">
        <f t="shared" ref="E9:E16" si="0">D9/C9%</f>
        <v>117.92364557160802</v>
      </c>
    </row>
    <row r="10" spans="1:6" s="156" customFormat="1" ht="19.149999999999999" customHeight="1" x14ac:dyDescent="0.2">
      <c r="A10" s="826" t="s">
        <v>6</v>
      </c>
      <c r="B10" s="827" t="s">
        <v>29</v>
      </c>
      <c r="C10" s="204">
        <f>C11</f>
        <v>12468000</v>
      </c>
      <c r="D10" s="828">
        <f>SUM(D11,D12,D13)</f>
        <v>16331047.693</v>
      </c>
      <c r="E10" s="963">
        <f t="shared" si="0"/>
        <v>130.98369981552776</v>
      </c>
      <c r="F10" s="157"/>
    </row>
    <row r="11" spans="1:6" s="156" customFormat="1" ht="19.149999999999999" customHeight="1" x14ac:dyDescent="0.2">
      <c r="A11" s="833">
        <v>1</v>
      </c>
      <c r="B11" s="834" t="s">
        <v>198</v>
      </c>
      <c r="C11" s="835">
        <v>12468000</v>
      </c>
      <c r="D11" s="816">
        <f>'53N'!D11</f>
        <v>14849047.693</v>
      </c>
      <c r="E11" s="964">
        <f t="shared" si="0"/>
        <v>119.09727055662496</v>
      </c>
    </row>
    <row r="12" spans="1:6" s="156" customFormat="1" ht="47.25" customHeight="1" x14ac:dyDescent="0.2">
      <c r="A12" s="833">
        <v>2</v>
      </c>
      <c r="B12" s="834" t="s">
        <v>347</v>
      </c>
      <c r="C12" s="835"/>
      <c r="D12" s="816"/>
      <c r="E12" s="964"/>
    </row>
    <row r="13" spans="1:6" s="156" customFormat="1" ht="16.899999999999999" customHeight="1" x14ac:dyDescent="0.2">
      <c r="A13" s="833">
        <v>3</v>
      </c>
      <c r="B13" s="834" t="s">
        <v>27</v>
      </c>
      <c r="C13" s="835"/>
      <c r="D13" s="816">
        <f>'53N'!D12</f>
        <v>1482000</v>
      </c>
      <c r="E13" s="964"/>
      <c r="F13" s="159"/>
    </row>
    <row r="14" spans="1:6" s="156" customFormat="1" ht="16.899999999999999" customHeight="1" x14ac:dyDescent="0.2">
      <c r="A14" s="833" t="s">
        <v>12</v>
      </c>
      <c r="B14" s="834" t="s">
        <v>30</v>
      </c>
      <c r="C14" s="835">
        <v>114380000</v>
      </c>
      <c r="D14" s="816">
        <f>'53N'!D13</f>
        <v>137457184.67199999</v>
      </c>
      <c r="E14" s="964">
        <f t="shared" si="0"/>
        <v>120.17589147753102</v>
      </c>
      <c r="F14" s="157"/>
    </row>
    <row r="15" spans="1:6" ht="16.899999999999999" customHeight="1" x14ac:dyDescent="0.25">
      <c r="A15" s="404"/>
      <c r="B15" s="403" t="s">
        <v>45</v>
      </c>
      <c r="C15" s="698"/>
      <c r="D15" s="830"/>
      <c r="E15" s="964"/>
    </row>
    <row r="16" spans="1:6" ht="16.899999999999999" customHeight="1" x14ac:dyDescent="0.25">
      <c r="A16" s="404"/>
      <c r="B16" s="403" t="s">
        <v>35</v>
      </c>
      <c r="C16" s="698">
        <v>68911319</v>
      </c>
      <c r="D16" s="830">
        <f>'53N'!D15</f>
        <v>75608229.204999998</v>
      </c>
      <c r="E16" s="965">
        <f t="shared" si="0"/>
        <v>109.71815704906186</v>
      </c>
      <c r="F16" s="158"/>
    </row>
    <row r="17" spans="1:6" s="156" customFormat="1" ht="16.899999999999999" customHeight="1" x14ac:dyDescent="0.2">
      <c r="A17" s="833" t="s">
        <v>19</v>
      </c>
      <c r="B17" s="834" t="s">
        <v>61</v>
      </c>
      <c r="C17" s="835">
        <v>2974000</v>
      </c>
      <c r="D17" s="816"/>
      <c r="E17" s="965"/>
      <c r="F17" s="157"/>
    </row>
    <row r="18" spans="1:6" s="156" customFormat="1" ht="16.899999999999999" customHeight="1" x14ac:dyDescent="0.2">
      <c r="A18" s="833" t="s">
        <v>20</v>
      </c>
      <c r="B18" s="834" t="s">
        <v>180</v>
      </c>
      <c r="C18" s="835">
        <v>722000</v>
      </c>
      <c r="D18" s="816"/>
      <c r="E18" s="965"/>
      <c r="F18" s="157"/>
    </row>
    <row r="19" spans="1:6" s="156" customFormat="1" ht="16.899999999999999" customHeight="1" x14ac:dyDescent="0.2">
      <c r="A19" s="379" t="s">
        <v>24</v>
      </c>
      <c r="B19" s="837" t="s">
        <v>256</v>
      </c>
      <c r="C19" s="522"/>
      <c r="D19" s="966">
        <f>'53N'!D18</f>
        <v>104011.51</v>
      </c>
      <c r="E19" s="967"/>
      <c r="F19" s="157"/>
    </row>
    <row r="20" spans="1:6" s="156" customFormat="1" ht="16.899999999999999" customHeight="1" x14ac:dyDescent="0.2">
      <c r="A20" s="379" t="s">
        <v>46</v>
      </c>
      <c r="B20" s="837" t="s">
        <v>516</v>
      </c>
      <c r="C20" s="522"/>
      <c r="D20" s="966">
        <f>'53N'!D19</f>
        <v>50000</v>
      </c>
      <c r="E20" s="967"/>
      <c r="F20" s="157"/>
    </row>
    <row r="21" spans="1:6" s="156" customFormat="1" ht="16.899999999999999" customHeight="1" x14ac:dyDescent="0.2">
      <c r="A21" s="858" t="s">
        <v>5</v>
      </c>
      <c r="B21" s="859" t="s">
        <v>199</v>
      </c>
      <c r="C21" s="968">
        <f>SUM(C22,C33)</f>
        <v>997000</v>
      </c>
      <c r="D21" s="855">
        <f>SUM(D22,D33)</f>
        <v>516129.13700000005</v>
      </c>
      <c r="E21" s="962">
        <f>D21/C21%</f>
        <v>51.768218355065201</v>
      </c>
    </row>
    <row r="22" spans="1:6" s="156" customFormat="1" ht="19.149999999999999" customHeight="1" x14ac:dyDescent="0.2">
      <c r="A22" s="858" t="s">
        <v>6</v>
      </c>
      <c r="B22" s="859" t="s">
        <v>288</v>
      </c>
      <c r="C22" s="860">
        <f>C23+C26</f>
        <v>736000</v>
      </c>
      <c r="D22" s="860">
        <f>D23+D26</f>
        <v>315075.43700000003</v>
      </c>
      <c r="E22" s="962">
        <f>D22/C22%</f>
        <v>42.809162635869569</v>
      </c>
    </row>
    <row r="23" spans="1:6" s="156" customFormat="1" ht="19.149999999999999" customHeight="1" x14ac:dyDescent="0.2">
      <c r="A23" s="1670">
        <v>1</v>
      </c>
      <c r="B23" s="1671" t="s">
        <v>282</v>
      </c>
      <c r="C23" s="1672">
        <f>C25+C24</f>
        <v>552000</v>
      </c>
      <c r="D23" s="1672">
        <f>D25+D24</f>
        <v>187115.38800000001</v>
      </c>
      <c r="E23" s="1673">
        <f>D23/C23%</f>
        <v>33.897715217391308</v>
      </c>
    </row>
    <row r="24" spans="1:6" s="156" customFormat="1" ht="19.149999999999999" customHeight="1" x14ac:dyDescent="0.2">
      <c r="A24" s="404" t="s">
        <v>273</v>
      </c>
      <c r="B24" s="329" t="s">
        <v>260</v>
      </c>
      <c r="C24" s="969"/>
      <c r="D24" s="830"/>
      <c r="E24" s="964"/>
    </row>
    <row r="25" spans="1:6" ht="19.149999999999999" customHeight="1" x14ac:dyDescent="0.25">
      <c r="A25" s="404" t="s">
        <v>273</v>
      </c>
      <c r="B25" s="329" t="s">
        <v>287</v>
      </c>
      <c r="C25" s="970">
        <v>552000</v>
      </c>
      <c r="D25" s="830">
        <f>'53N'!D24</f>
        <v>187115.38800000001</v>
      </c>
      <c r="E25" s="965">
        <f t="shared" ref="E25:E28" si="1">D25/C25%</f>
        <v>33.897715217391308</v>
      </c>
    </row>
    <row r="26" spans="1:6" s="156" customFormat="1" ht="19.149999999999999" customHeight="1" x14ac:dyDescent="0.2">
      <c r="A26" s="833">
        <v>2</v>
      </c>
      <c r="B26" s="536" t="s">
        <v>398</v>
      </c>
      <c r="C26" s="835">
        <f>C28+C27</f>
        <v>184000</v>
      </c>
      <c r="D26" s="835">
        <f>D28+D27</f>
        <v>127960.04900000001</v>
      </c>
      <c r="E26" s="964">
        <f t="shared" si="1"/>
        <v>69.543504891304352</v>
      </c>
    </row>
    <row r="27" spans="1:6" s="156" customFormat="1" ht="19.149999999999999" customHeight="1" x14ac:dyDescent="0.2">
      <c r="A27" s="833"/>
      <c r="B27" s="329" t="s">
        <v>260</v>
      </c>
      <c r="C27" s="835"/>
      <c r="D27" s="830">
        <f>'53N'!D26</f>
        <v>60964.895000000004</v>
      </c>
      <c r="E27" s="964"/>
    </row>
    <row r="28" spans="1:6" s="156" customFormat="1" ht="19.149999999999999" customHeight="1" x14ac:dyDescent="0.2">
      <c r="A28" s="405" t="s">
        <v>273</v>
      </c>
      <c r="B28" s="1050" t="s">
        <v>287</v>
      </c>
      <c r="C28" s="1674">
        <v>184000</v>
      </c>
      <c r="D28" s="1581">
        <f>'53N'!D27</f>
        <v>66995.15400000001</v>
      </c>
      <c r="E28" s="1675">
        <f t="shared" si="1"/>
        <v>36.410409782608703</v>
      </c>
    </row>
    <row r="29" spans="1:6" s="156" customFormat="1" ht="19.149999999999999" hidden="1" customHeight="1" x14ac:dyDescent="0.2">
      <c r="A29" s="826">
        <v>4</v>
      </c>
      <c r="B29" s="827" t="s">
        <v>342</v>
      </c>
      <c r="C29" s="204" t="e">
        <f>C30</f>
        <v>#REF!</v>
      </c>
      <c r="D29" s="828">
        <f>D30</f>
        <v>0</v>
      </c>
      <c r="E29" s="963"/>
    </row>
    <row r="30" spans="1:6" s="156" customFormat="1" ht="19.149999999999999" hidden="1" customHeight="1" x14ac:dyDescent="0.2">
      <c r="A30" s="404" t="s">
        <v>273</v>
      </c>
      <c r="B30" s="849" t="s">
        <v>287</v>
      </c>
      <c r="C30" s="482" t="e">
        <f>'53N'!#REF!</f>
        <v>#REF!</v>
      </c>
      <c r="D30" s="446">
        <v>0</v>
      </c>
      <c r="E30" s="965"/>
    </row>
    <row r="31" spans="1:6" s="156" customFormat="1" ht="19.149999999999999" hidden="1" customHeight="1" x14ac:dyDescent="0.2">
      <c r="A31" s="833">
        <v>5</v>
      </c>
      <c r="B31" s="834" t="s">
        <v>368</v>
      </c>
      <c r="C31" s="835" t="e">
        <f>C32</f>
        <v>#REF!</v>
      </c>
      <c r="D31" s="816" t="e">
        <f>D32</f>
        <v>#REF!</v>
      </c>
      <c r="E31" s="964"/>
    </row>
    <row r="32" spans="1:6" s="156" customFormat="1" ht="19.149999999999999" hidden="1" customHeight="1" x14ac:dyDescent="0.2">
      <c r="A32" s="404" t="s">
        <v>273</v>
      </c>
      <c r="B32" s="849" t="s">
        <v>287</v>
      </c>
      <c r="C32" s="482" t="e">
        <f>'53N'!#REF!</f>
        <v>#REF!</v>
      </c>
      <c r="D32" s="446" t="e">
        <f>'53N'!#REF!</f>
        <v>#REF!</v>
      </c>
      <c r="E32" s="965"/>
    </row>
    <row r="33" spans="1:5" s="156" customFormat="1" ht="19.149999999999999" customHeight="1" x14ac:dyDescent="0.2">
      <c r="A33" s="459" t="s">
        <v>12</v>
      </c>
      <c r="B33" s="473" t="s">
        <v>289</v>
      </c>
      <c r="C33" s="860">
        <f>SUM(C35,C34)</f>
        <v>261000</v>
      </c>
      <c r="D33" s="855">
        <f>SUM(D35,D34)</f>
        <v>201053.7</v>
      </c>
      <c r="E33" s="962">
        <f>D33/C33%</f>
        <v>77.03206896551724</v>
      </c>
    </row>
    <row r="34" spans="1:5" s="156" customFormat="1" ht="19.149999999999999" customHeight="1" x14ac:dyDescent="0.2">
      <c r="A34" s="971">
        <v>1</v>
      </c>
      <c r="B34" s="972" t="s">
        <v>260</v>
      </c>
      <c r="C34" s="204"/>
      <c r="D34" s="828"/>
      <c r="E34" s="963"/>
    </row>
    <row r="35" spans="1:5" s="156" customFormat="1" ht="16.899999999999999" customHeight="1" x14ac:dyDescent="0.2">
      <c r="A35" s="459">
        <v>2</v>
      </c>
      <c r="B35" s="473" t="s">
        <v>287</v>
      </c>
      <c r="C35" s="860">
        <f>SUM(C36:C37)</f>
        <v>261000</v>
      </c>
      <c r="D35" s="860">
        <f>SUM(D36:D37)</f>
        <v>201053.7</v>
      </c>
      <c r="E35" s="962">
        <f>D35/C35%</f>
        <v>77.03206896551724</v>
      </c>
    </row>
    <row r="36" spans="1:5" s="156" customFormat="1" ht="19.149999999999999" customHeight="1" x14ac:dyDescent="0.2">
      <c r="A36" s="404" t="s">
        <v>273</v>
      </c>
      <c r="B36" s="479" t="str">
        <f>'53N'!B36</f>
        <v>Kinh phí thực hiện chương trình phát triển lâm nghiệp bền vững</v>
      </c>
      <c r="C36" s="482">
        <v>171000</v>
      </c>
      <c r="D36" s="830">
        <f>'53N'!D36</f>
        <v>111053.7</v>
      </c>
      <c r="E36" s="965">
        <f t="shared" ref="E36:E37" si="2">D36/C36%</f>
        <v>64.943684210526314</v>
      </c>
    </row>
    <row r="37" spans="1:5" s="156" customFormat="1" ht="25.5" x14ac:dyDescent="0.2">
      <c r="A37" s="973" t="s">
        <v>273</v>
      </c>
      <c r="B37" s="479" t="str">
        <f>'53N'!B37</f>
        <v>Kinh phí quản lý, bảo trì đường bộ cho các quỹ bảo trì đường bộ địa phương</v>
      </c>
      <c r="C37" s="482">
        <v>90000</v>
      </c>
      <c r="D37" s="830">
        <f>'53N'!D37</f>
        <v>90000</v>
      </c>
      <c r="E37" s="965">
        <f t="shared" si="2"/>
        <v>100</v>
      </c>
    </row>
    <row r="38" spans="1:5" ht="24" customHeight="1" x14ac:dyDescent="0.25">
      <c r="A38" s="858" t="s">
        <v>42</v>
      </c>
      <c r="B38" s="974" t="s">
        <v>200</v>
      </c>
      <c r="C38" s="860"/>
      <c r="D38" s="855">
        <f>'59'!F17</f>
        <v>24187211.725000001</v>
      </c>
      <c r="E38" s="975"/>
    </row>
  </sheetData>
  <mergeCells count="4">
    <mergeCell ref="A3:E3"/>
    <mergeCell ref="A4:E4"/>
    <mergeCell ref="C5:E5"/>
    <mergeCell ref="D1:E1"/>
  </mergeCells>
  <phoneticPr fontId="93" type="noConversion"/>
  <printOptions horizontalCentered="1"/>
  <pageMargins left="0.47244094488188998" right="0.511811023622047" top="0.66929133858267698" bottom="0.55118110236220497" header="0.31496062992126" footer="0.31496062992126"/>
  <pageSetup paperSize="9" scale="90" firstPageNumber="15" orientation="portrait" useFirstPageNumber="1" r:id="rId1"/>
  <headerFooter>
    <oddHeader xml:space="preserve">&amp;R
</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1" sqref="A21:XFD21"/>
    </sheetView>
  </sheetViews>
  <sheetFormatPr defaultRowHeight="15.75" x14ac:dyDescent="0.25"/>
  <cols>
    <col min="1" max="1" width="6.7109375" style="1377" customWidth="1"/>
    <col min="2" max="2" width="39.140625" style="12" customWidth="1"/>
    <col min="3" max="3" width="13.7109375" style="12" bestFit="1" customWidth="1"/>
    <col min="4" max="4" width="11.5703125" style="12" customWidth="1"/>
    <col min="5" max="5" width="14.140625" style="12" customWidth="1"/>
    <col min="6" max="6" width="14.85546875" style="12" customWidth="1"/>
    <col min="7" max="252" width="9.140625" style="12"/>
    <col min="253" max="253" width="6.7109375" style="12" customWidth="1"/>
    <col min="254" max="254" width="35.140625" style="12" customWidth="1"/>
    <col min="255" max="256" width="9.140625" style="12"/>
    <col min="257" max="257" width="10.28515625" style="12" customWidth="1"/>
    <col min="258" max="258" width="9.28515625" style="12" customWidth="1"/>
    <col min="259" max="260" width="9.140625" style="12"/>
    <col min="261" max="261" width="7.140625" style="12" customWidth="1"/>
    <col min="262" max="262" width="7.28515625" style="12" customWidth="1"/>
    <col min="263" max="508" width="9.140625" style="12"/>
    <col min="509" max="509" width="6.7109375" style="12" customWidth="1"/>
    <col min="510" max="510" width="35.140625" style="12" customWidth="1"/>
    <col min="511" max="512" width="9.140625" style="12"/>
    <col min="513" max="513" width="10.28515625" style="12" customWidth="1"/>
    <col min="514" max="514" width="9.28515625" style="12" customWidth="1"/>
    <col min="515" max="516" width="9.140625" style="12"/>
    <col min="517" max="517" width="7.140625" style="12" customWidth="1"/>
    <col min="518" max="518" width="7.28515625" style="12" customWidth="1"/>
    <col min="519" max="764" width="9.140625" style="12"/>
    <col min="765" max="765" width="6.7109375" style="12" customWidth="1"/>
    <col min="766" max="766" width="35.140625" style="12" customWidth="1"/>
    <col min="767" max="768" width="9.140625" style="12"/>
    <col min="769" max="769" width="10.28515625" style="12" customWidth="1"/>
    <col min="770" max="770" width="9.28515625" style="12" customWidth="1"/>
    <col min="771" max="772" width="9.140625" style="12"/>
    <col min="773" max="773" width="7.140625" style="12" customWidth="1"/>
    <col min="774" max="774" width="7.28515625" style="12" customWidth="1"/>
    <col min="775" max="1020" width="9.140625" style="12"/>
    <col min="1021" max="1021" width="6.7109375" style="12" customWidth="1"/>
    <col min="1022" max="1022" width="35.140625" style="12" customWidth="1"/>
    <col min="1023" max="1024" width="9.140625" style="12"/>
    <col min="1025" max="1025" width="10.28515625" style="12" customWidth="1"/>
    <col min="1026" max="1026" width="9.28515625" style="12" customWidth="1"/>
    <col min="1027" max="1028" width="9.140625" style="12"/>
    <col min="1029" max="1029" width="7.140625" style="12" customWidth="1"/>
    <col min="1030" max="1030" width="7.28515625" style="12" customWidth="1"/>
    <col min="1031" max="1276" width="9.140625" style="12"/>
    <col min="1277" max="1277" width="6.7109375" style="12" customWidth="1"/>
    <col min="1278" max="1278" width="35.140625" style="12" customWidth="1"/>
    <col min="1279" max="1280" width="9.140625" style="12"/>
    <col min="1281" max="1281" width="10.28515625" style="12" customWidth="1"/>
    <col min="1282" max="1282" width="9.28515625" style="12" customWidth="1"/>
    <col min="1283" max="1284" width="9.140625" style="12"/>
    <col min="1285" max="1285" width="7.140625" style="12" customWidth="1"/>
    <col min="1286" max="1286" width="7.28515625" style="12" customWidth="1"/>
    <col min="1287" max="1532" width="9.140625" style="12"/>
    <col min="1533" max="1533" width="6.7109375" style="12" customWidth="1"/>
    <col min="1534" max="1534" width="35.140625" style="12" customWidth="1"/>
    <col min="1535" max="1536" width="9.140625" style="12"/>
    <col min="1537" max="1537" width="10.28515625" style="12" customWidth="1"/>
    <col min="1538" max="1538" width="9.28515625" style="12" customWidth="1"/>
    <col min="1539" max="1540" width="9.140625" style="12"/>
    <col min="1541" max="1541" width="7.140625" style="12" customWidth="1"/>
    <col min="1542" max="1542" width="7.28515625" style="12" customWidth="1"/>
    <col min="1543" max="1788" width="9.140625" style="12"/>
    <col min="1789" max="1789" width="6.7109375" style="12" customWidth="1"/>
    <col min="1790" max="1790" width="35.140625" style="12" customWidth="1"/>
    <col min="1791" max="1792" width="9.140625" style="12"/>
    <col min="1793" max="1793" width="10.28515625" style="12" customWidth="1"/>
    <col min="1794" max="1794" width="9.28515625" style="12" customWidth="1"/>
    <col min="1795" max="1796" width="9.140625" style="12"/>
    <col min="1797" max="1797" width="7.140625" style="12" customWidth="1"/>
    <col min="1798" max="1798" width="7.28515625" style="12" customWidth="1"/>
    <col min="1799" max="2044" width="9.140625" style="12"/>
    <col min="2045" max="2045" width="6.7109375" style="12" customWidth="1"/>
    <col min="2046" max="2046" width="35.140625" style="12" customWidth="1"/>
    <col min="2047" max="2048" width="9.140625" style="12"/>
    <col min="2049" max="2049" width="10.28515625" style="12" customWidth="1"/>
    <col min="2050" max="2050" width="9.28515625" style="12" customWidth="1"/>
    <col min="2051" max="2052" width="9.140625" style="12"/>
    <col min="2053" max="2053" width="7.140625" style="12" customWidth="1"/>
    <col min="2054" max="2054" width="7.28515625" style="12" customWidth="1"/>
    <col min="2055" max="2300" width="9.140625" style="12"/>
    <col min="2301" max="2301" width="6.7109375" style="12" customWidth="1"/>
    <col min="2302" max="2302" width="35.140625" style="12" customWidth="1"/>
    <col min="2303" max="2304" width="9.140625" style="12"/>
    <col min="2305" max="2305" width="10.28515625" style="12" customWidth="1"/>
    <col min="2306" max="2306" width="9.28515625" style="12" customWidth="1"/>
    <col min="2307" max="2308" width="9.140625" style="12"/>
    <col min="2309" max="2309" width="7.140625" style="12" customWidth="1"/>
    <col min="2310" max="2310" width="7.28515625" style="12" customWidth="1"/>
    <col min="2311" max="2556" width="9.140625" style="12"/>
    <col min="2557" max="2557" width="6.7109375" style="12" customWidth="1"/>
    <col min="2558" max="2558" width="35.140625" style="12" customWidth="1"/>
    <col min="2559" max="2560" width="9.140625" style="12"/>
    <col min="2561" max="2561" width="10.28515625" style="12" customWidth="1"/>
    <col min="2562" max="2562" width="9.28515625" style="12" customWidth="1"/>
    <col min="2563" max="2564" width="9.140625" style="12"/>
    <col min="2565" max="2565" width="7.140625" style="12" customWidth="1"/>
    <col min="2566" max="2566" width="7.28515625" style="12" customWidth="1"/>
    <col min="2567" max="2812" width="9.140625" style="12"/>
    <col min="2813" max="2813" width="6.7109375" style="12" customWidth="1"/>
    <col min="2814" max="2814" width="35.140625" style="12" customWidth="1"/>
    <col min="2815" max="2816" width="9.140625" style="12"/>
    <col min="2817" max="2817" width="10.28515625" style="12" customWidth="1"/>
    <col min="2818" max="2818" width="9.28515625" style="12" customWidth="1"/>
    <col min="2819" max="2820" width="9.140625" style="12"/>
    <col min="2821" max="2821" width="7.140625" style="12" customWidth="1"/>
    <col min="2822" max="2822" width="7.28515625" style="12" customWidth="1"/>
    <col min="2823" max="3068" width="9.140625" style="12"/>
    <col min="3069" max="3069" width="6.7109375" style="12" customWidth="1"/>
    <col min="3070" max="3070" width="35.140625" style="12" customWidth="1"/>
    <col min="3071" max="3072" width="9.140625" style="12"/>
    <col min="3073" max="3073" width="10.28515625" style="12" customWidth="1"/>
    <col min="3074" max="3074" width="9.28515625" style="12" customWidth="1"/>
    <col min="3075" max="3076" width="9.140625" style="12"/>
    <col min="3077" max="3077" width="7.140625" style="12" customWidth="1"/>
    <col min="3078" max="3078" width="7.28515625" style="12" customWidth="1"/>
    <col min="3079" max="3324" width="9.140625" style="12"/>
    <col min="3325" max="3325" width="6.7109375" style="12" customWidth="1"/>
    <col min="3326" max="3326" width="35.140625" style="12" customWidth="1"/>
    <col min="3327" max="3328" width="9.140625" style="12"/>
    <col min="3329" max="3329" width="10.28515625" style="12" customWidth="1"/>
    <col min="3330" max="3330" width="9.28515625" style="12" customWidth="1"/>
    <col min="3331" max="3332" width="9.140625" style="12"/>
    <col min="3333" max="3333" width="7.140625" style="12" customWidth="1"/>
    <col min="3334" max="3334" width="7.28515625" style="12" customWidth="1"/>
    <col min="3335" max="3580" width="9.140625" style="12"/>
    <col min="3581" max="3581" width="6.7109375" style="12" customWidth="1"/>
    <col min="3582" max="3582" width="35.140625" style="12" customWidth="1"/>
    <col min="3583" max="3584" width="9.140625" style="12"/>
    <col min="3585" max="3585" width="10.28515625" style="12" customWidth="1"/>
    <col min="3586" max="3586" width="9.28515625" style="12" customWidth="1"/>
    <col min="3587" max="3588" width="9.140625" style="12"/>
    <col min="3589" max="3589" width="7.140625" style="12" customWidth="1"/>
    <col min="3590" max="3590" width="7.28515625" style="12" customWidth="1"/>
    <col min="3591" max="3836" width="9.140625" style="12"/>
    <col min="3837" max="3837" width="6.7109375" style="12" customWidth="1"/>
    <col min="3838" max="3838" width="35.140625" style="12" customWidth="1"/>
    <col min="3839" max="3840" width="9.140625" style="12"/>
    <col min="3841" max="3841" width="10.28515625" style="12" customWidth="1"/>
    <col min="3842" max="3842" width="9.28515625" style="12" customWidth="1"/>
    <col min="3843" max="3844" width="9.140625" style="12"/>
    <col min="3845" max="3845" width="7.140625" style="12" customWidth="1"/>
    <col min="3846" max="3846" width="7.28515625" style="12" customWidth="1"/>
    <col min="3847" max="4092" width="9.140625" style="12"/>
    <col min="4093" max="4093" width="6.7109375" style="12" customWidth="1"/>
    <col min="4094" max="4094" width="35.140625" style="12" customWidth="1"/>
    <col min="4095" max="4096" width="9.140625" style="12"/>
    <col min="4097" max="4097" width="10.28515625" style="12" customWidth="1"/>
    <col min="4098" max="4098" width="9.28515625" style="12" customWidth="1"/>
    <col min="4099" max="4100" width="9.140625" style="12"/>
    <col min="4101" max="4101" width="7.140625" style="12" customWidth="1"/>
    <col min="4102" max="4102" width="7.28515625" style="12" customWidth="1"/>
    <col min="4103" max="4348" width="9.140625" style="12"/>
    <col min="4349" max="4349" width="6.7109375" style="12" customWidth="1"/>
    <col min="4350" max="4350" width="35.140625" style="12" customWidth="1"/>
    <col min="4351" max="4352" width="9.140625" style="12"/>
    <col min="4353" max="4353" width="10.28515625" style="12" customWidth="1"/>
    <col min="4354" max="4354" width="9.28515625" style="12" customWidth="1"/>
    <col min="4355" max="4356" width="9.140625" style="12"/>
    <col min="4357" max="4357" width="7.140625" style="12" customWidth="1"/>
    <col min="4358" max="4358" width="7.28515625" style="12" customWidth="1"/>
    <col min="4359" max="4604" width="9.140625" style="12"/>
    <col min="4605" max="4605" width="6.7109375" style="12" customWidth="1"/>
    <col min="4606" max="4606" width="35.140625" style="12" customWidth="1"/>
    <col min="4607" max="4608" width="9.140625" style="12"/>
    <col min="4609" max="4609" width="10.28515625" style="12" customWidth="1"/>
    <col min="4610" max="4610" width="9.28515625" style="12" customWidth="1"/>
    <col min="4611" max="4612" width="9.140625" style="12"/>
    <col min="4613" max="4613" width="7.140625" style="12" customWidth="1"/>
    <col min="4614" max="4614" width="7.28515625" style="12" customWidth="1"/>
    <col min="4615" max="4860" width="9.140625" style="12"/>
    <col min="4861" max="4861" width="6.7109375" style="12" customWidth="1"/>
    <col min="4862" max="4862" width="35.140625" style="12" customWidth="1"/>
    <col min="4863" max="4864" width="9.140625" style="12"/>
    <col min="4865" max="4865" width="10.28515625" style="12" customWidth="1"/>
    <col min="4866" max="4866" width="9.28515625" style="12" customWidth="1"/>
    <col min="4867" max="4868" width="9.140625" style="12"/>
    <col min="4869" max="4869" width="7.140625" style="12" customWidth="1"/>
    <col min="4870" max="4870" width="7.28515625" style="12" customWidth="1"/>
    <col min="4871" max="5116" width="9.140625" style="12"/>
    <col min="5117" max="5117" width="6.7109375" style="12" customWidth="1"/>
    <col min="5118" max="5118" width="35.140625" style="12" customWidth="1"/>
    <col min="5119" max="5120" width="9.140625" style="12"/>
    <col min="5121" max="5121" width="10.28515625" style="12" customWidth="1"/>
    <col min="5122" max="5122" width="9.28515625" style="12" customWidth="1"/>
    <col min="5123" max="5124" width="9.140625" style="12"/>
    <col min="5125" max="5125" width="7.140625" style="12" customWidth="1"/>
    <col min="5126" max="5126" width="7.28515625" style="12" customWidth="1"/>
    <col min="5127" max="5372" width="9.140625" style="12"/>
    <col min="5373" max="5373" width="6.7109375" style="12" customWidth="1"/>
    <col min="5374" max="5374" width="35.140625" style="12" customWidth="1"/>
    <col min="5375" max="5376" width="9.140625" style="12"/>
    <col min="5377" max="5377" width="10.28515625" style="12" customWidth="1"/>
    <col min="5378" max="5378" width="9.28515625" style="12" customWidth="1"/>
    <col min="5379" max="5380" width="9.140625" style="12"/>
    <col min="5381" max="5381" width="7.140625" style="12" customWidth="1"/>
    <col min="5382" max="5382" width="7.28515625" style="12" customWidth="1"/>
    <col min="5383" max="5628" width="9.140625" style="12"/>
    <col min="5629" max="5629" width="6.7109375" style="12" customWidth="1"/>
    <col min="5630" max="5630" width="35.140625" style="12" customWidth="1"/>
    <col min="5631" max="5632" width="9.140625" style="12"/>
    <col min="5633" max="5633" width="10.28515625" style="12" customWidth="1"/>
    <col min="5634" max="5634" width="9.28515625" style="12" customWidth="1"/>
    <col min="5635" max="5636" width="9.140625" style="12"/>
    <col min="5637" max="5637" width="7.140625" style="12" customWidth="1"/>
    <col min="5638" max="5638" width="7.28515625" style="12" customWidth="1"/>
    <col min="5639" max="5884" width="9.140625" style="12"/>
    <col min="5885" max="5885" width="6.7109375" style="12" customWidth="1"/>
    <col min="5886" max="5886" width="35.140625" style="12" customWidth="1"/>
    <col min="5887" max="5888" width="9.140625" style="12"/>
    <col min="5889" max="5889" width="10.28515625" style="12" customWidth="1"/>
    <col min="5890" max="5890" width="9.28515625" style="12" customWidth="1"/>
    <col min="5891" max="5892" width="9.140625" style="12"/>
    <col min="5893" max="5893" width="7.140625" style="12" customWidth="1"/>
    <col min="5894" max="5894" width="7.28515625" style="12" customWidth="1"/>
    <col min="5895" max="6140" width="9.140625" style="12"/>
    <col min="6141" max="6141" width="6.7109375" style="12" customWidth="1"/>
    <col min="6142" max="6142" width="35.140625" style="12" customWidth="1"/>
    <col min="6143" max="6144" width="9.140625" style="12"/>
    <col min="6145" max="6145" width="10.28515625" style="12" customWidth="1"/>
    <col min="6146" max="6146" width="9.28515625" style="12" customWidth="1"/>
    <col min="6147" max="6148" width="9.140625" style="12"/>
    <col min="6149" max="6149" width="7.140625" style="12" customWidth="1"/>
    <col min="6150" max="6150" width="7.28515625" style="12" customWidth="1"/>
    <col min="6151" max="6396" width="9.140625" style="12"/>
    <col min="6397" max="6397" width="6.7109375" style="12" customWidth="1"/>
    <col min="6398" max="6398" width="35.140625" style="12" customWidth="1"/>
    <col min="6399" max="6400" width="9.140625" style="12"/>
    <col min="6401" max="6401" width="10.28515625" style="12" customWidth="1"/>
    <col min="6402" max="6402" width="9.28515625" style="12" customWidth="1"/>
    <col min="6403" max="6404" width="9.140625" style="12"/>
    <col min="6405" max="6405" width="7.140625" style="12" customWidth="1"/>
    <col min="6406" max="6406" width="7.28515625" style="12" customWidth="1"/>
    <col min="6407" max="6652" width="9.140625" style="12"/>
    <col min="6653" max="6653" width="6.7109375" style="12" customWidth="1"/>
    <col min="6654" max="6654" width="35.140625" style="12" customWidth="1"/>
    <col min="6655" max="6656" width="9.140625" style="12"/>
    <col min="6657" max="6657" width="10.28515625" style="12" customWidth="1"/>
    <col min="6658" max="6658" width="9.28515625" style="12" customWidth="1"/>
    <col min="6659" max="6660" width="9.140625" style="12"/>
    <col min="6661" max="6661" width="7.140625" style="12" customWidth="1"/>
    <col min="6662" max="6662" width="7.28515625" style="12" customWidth="1"/>
    <col min="6663" max="6908" width="9.140625" style="12"/>
    <col min="6909" max="6909" width="6.7109375" style="12" customWidth="1"/>
    <col min="6910" max="6910" width="35.140625" style="12" customWidth="1"/>
    <col min="6911" max="6912" width="9.140625" style="12"/>
    <col min="6913" max="6913" width="10.28515625" style="12" customWidth="1"/>
    <col min="6914" max="6914" width="9.28515625" style="12" customWidth="1"/>
    <col min="6915" max="6916" width="9.140625" style="12"/>
    <col min="6917" max="6917" width="7.140625" style="12" customWidth="1"/>
    <col min="6918" max="6918" width="7.28515625" style="12" customWidth="1"/>
    <col min="6919" max="7164" width="9.140625" style="12"/>
    <col min="7165" max="7165" width="6.7109375" style="12" customWidth="1"/>
    <col min="7166" max="7166" width="35.140625" style="12" customWidth="1"/>
    <col min="7167" max="7168" width="9.140625" style="12"/>
    <col min="7169" max="7169" width="10.28515625" style="12" customWidth="1"/>
    <col min="7170" max="7170" width="9.28515625" style="12" customWidth="1"/>
    <col min="7171" max="7172" width="9.140625" style="12"/>
    <col min="7173" max="7173" width="7.140625" style="12" customWidth="1"/>
    <col min="7174" max="7174" width="7.28515625" style="12" customWidth="1"/>
    <col min="7175" max="7420" width="9.140625" style="12"/>
    <col min="7421" max="7421" width="6.7109375" style="12" customWidth="1"/>
    <col min="7422" max="7422" width="35.140625" style="12" customWidth="1"/>
    <col min="7423" max="7424" width="9.140625" style="12"/>
    <col min="7425" max="7425" width="10.28515625" style="12" customWidth="1"/>
    <col min="7426" max="7426" width="9.28515625" style="12" customWidth="1"/>
    <col min="7427" max="7428" width="9.140625" style="12"/>
    <col min="7429" max="7429" width="7.140625" style="12" customWidth="1"/>
    <col min="7430" max="7430" width="7.28515625" style="12" customWidth="1"/>
    <col min="7431" max="7676" width="9.140625" style="12"/>
    <col min="7677" max="7677" width="6.7109375" style="12" customWidth="1"/>
    <col min="7678" max="7678" width="35.140625" style="12" customWidth="1"/>
    <col min="7679" max="7680" width="9.140625" style="12"/>
    <col min="7681" max="7681" width="10.28515625" style="12" customWidth="1"/>
    <col min="7682" max="7682" width="9.28515625" style="12" customWidth="1"/>
    <col min="7683" max="7684" width="9.140625" style="12"/>
    <col min="7685" max="7685" width="7.140625" style="12" customWidth="1"/>
    <col min="7686" max="7686" width="7.28515625" style="12" customWidth="1"/>
    <col min="7687" max="7932" width="9.140625" style="12"/>
    <col min="7933" max="7933" width="6.7109375" style="12" customWidth="1"/>
    <col min="7934" max="7934" width="35.140625" style="12" customWidth="1"/>
    <col min="7935" max="7936" width="9.140625" style="12"/>
    <col min="7937" max="7937" width="10.28515625" style="12" customWidth="1"/>
    <col min="7938" max="7938" width="9.28515625" style="12" customWidth="1"/>
    <col min="7939" max="7940" width="9.140625" style="12"/>
    <col min="7941" max="7941" width="7.140625" style="12" customWidth="1"/>
    <col min="7942" max="7942" width="7.28515625" style="12" customWidth="1"/>
    <col min="7943" max="8188" width="9.140625" style="12"/>
    <col min="8189" max="8189" width="6.7109375" style="12" customWidth="1"/>
    <col min="8190" max="8190" width="35.140625" style="12" customWidth="1"/>
    <col min="8191" max="8192" width="9.140625" style="12"/>
    <col min="8193" max="8193" width="10.28515625" style="12" customWidth="1"/>
    <col min="8194" max="8194" width="9.28515625" style="12" customWidth="1"/>
    <col min="8195" max="8196" width="9.140625" style="12"/>
    <col min="8197" max="8197" width="7.140625" style="12" customWidth="1"/>
    <col min="8198" max="8198" width="7.28515625" style="12" customWidth="1"/>
    <col min="8199" max="8444" width="9.140625" style="12"/>
    <col min="8445" max="8445" width="6.7109375" style="12" customWidth="1"/>
    <col min="8446" max="8446" width="35.140625" style="12" customWidth="1"/>
    <col min="8447" max="8448" width="9.140625" style="12"/>
    <col min="8449" max="8449" width="10.28515625" style="12" customWidth="1"/>
    <col min="8450" max="8450" width="9.28515625" style="12" customWidth="1"/>
    <col min="8451" max="8452" width="9.140625" style="12"/>
    <col min="8453" max="8453" width="7.140625" style="12" customWidth="1"/>
    <col min="8454" max="8454" width="7.28515625" style="12" customWidth="1"/>
    <col min="8455" max="8700" width="9.140625" style="12"/>
    <col min="8701" max="8701" width="6.7109375" style="12" customWidth="1"/>
    <col min="8702" max="8702" width="35.140625" style="12" customWidth="1"/>
    <col min="8703" max="8704" width="9.140625" style="12"/>
    <col min="8705" max="8705" width="10.28515625" style="12" customWidth="1"/>
    <col min="8706" max="8706" width="9.28515625" style="12" customWidth="1"/>
    <col min="8707" max="8708" width="9.140625" style="12"/>
    <col min="8709" max="8709" width="7.140625" style="12" customWidth="1"/>
    <col min="8710" max="8710" width="7.28515625" style="12" customWidth="1"/>
    <col min="8711" max="8956" width="9.140625" style="12"/>
    <col min="8957" max="8957" width="6.7109375" style="12" customWidth="1"/>
    <col min="8958" max="8958" width="35.140625" style="12" customWidth="1"/>
    <col min="8959" max="8960" width="9.140625" style="12"/>
    <col min="8961" max="8961" width="10.28515625" style="12" customWidth="1"/>
    <col min="8962" max="8962" width="9.28515625" style="12" customWidth="1"/>
    <col min="8963" max="8964" width="9.140625" style="12"/>
    <col min="8965" max="8965" width="7.140625" style="12" customWidth="1"/>
    <col min="8966" max="8966" width="7.28515625" style="12" customWidth="1"/>
    <col min="8967" max="9212" width="9.140625" style="12"/>
    <col min="9213" max="9213" width="6.7109375" style="12" customWidth="1"/>
    <col min="9214" max="9214" width="35.140625" style="12" customWidth="1"/>
    <col min="9215" max="9216" width="9.140625" style="12"/>
    <col min="9217" max="9217" width="10.28515625" style="12" customWidth="1"/>
    <col min="9218" max="9218" width="9.28515625" style="12" customWidth="1"/>
    <col min="9219" max="9220" width="9.140625" style="12"/>
    <col min="9221" max="9221" width="7.140625" style="12" customWidth="1"/>
    <col min="9222" max="9222" width="7.28515625" style="12" customWidth="1"/>
    <col min="9223" max="9468" width="9.140625" style="12"/>
    <col min="9469" max="9469" width="6.7109375" style="12" customWidth="1"/>
    <col min="9470" max="9470" width="35.140625" style="12" customWidth="1"/>
    <col min="9471" max="9472" width="9.140625" style="12"/>
    <col min="9473" max="9473" width="10.28515625" style="12" customWidth="1"/>
    <col min="9474" max="9474" width="9.28515625" style="12" customWidth="1"/>
    <col min="9475" max="9476" width="9.140625" style="12"/>
    <col min="9477" max="9477" width="7.140625" style="12" customWidth="1"/>
    <col min="9478" max="9478" width="7.28515625" style="12" customWidth="1"/>
    <col min="9479" max="9724" width="9.140625" style="12"/>
    <col min="9725" max="9725" width="6.7109375" style="12" customWidth="1"/>
    <col min="9726" max="9726" width="35.140625" style="12" customWidth="1"/>
    <col min="9727" max="9728" width="9.140625" style="12"/>
    <col min="9729" max="9729" width="10.28515625" style="12" customWidth="1"/>
    <col min="9730" max="9730" width="9.28515625" style="12" customWidth="1"/>
    <col min="9731" max="9732" width="9.140625" style="12"/>
    <col min="9733" max="9733" width="7.140625" style="12" customWidth="1"/>
    <col min="9734" max="9734" width="7.28515625" style="12" customWidth="1"/>
    <col min="9735" max="9980" width="9.140625" style="12"/>
    <col min="9981" max="9981" width="6.7109375" style="12" customWidth="1"/>
    <col min="9982" max="9982" width="35.140625" style="12" customWidth="1"/>
    <col min="9983" max="9984" width="9.140625" style="12"/>
    <col min="9985" max="9985" width="10.28515625" style="12" customWidth="1"/>
    <col min="9986" max="9986" width="9.28515625" style="12" customWidth="1"/>
    <col min="9987" max="9988" width="9.140625" style="12"/>
    <col min="9989" max="9989" width="7.140625" style="12" customWidth="1"/>
    <col min="9990" max="9990" width="7.28515625" style="12" customWidth="1"/>
    <col min="9991" max="10236" width="9.140625" style="12"/>
    <col min="10237" max="10237" width="6.7109375" style="12" customWidth="1"/>
    <col min="10238" max="10238" width="35.140625" style="12" customWidth="1"/>
    <col min="10239" max="10240" width="9.140625" style="12"/>
    <col min="10241" max="10241" width="10.28515625" style="12" customWidth="1"/>
    <col min="10242" max="10242" width="9.28515625" style="12" customWidth="1"/>
    <col min="10243" max="10244" width="9.140625" style="12"/>
    <col min="10245" max="10245" width="7.140625" style="12" customWidth="1"/>
    <col min="10246" max="10246" width="7.28515625" style="12" customWidth="1"/>
    <col min="10247" max="10492" width="9.140625" style="12"/>
    <col min="10493" max="10493" width="6.7109375" style="12" customWidth="1"/>
    <col min="10494" max="10494" width="35.140625" style="12" customWidth="1"/>
    <col min="10495" max="10496" width="9.140625" style="12"/>
    <col min="10497" max="10497" width="10.28515625" style="12" customWidth="1"/>
    <col min="10498" max="10498" width="9.28515625" style="12" customWidth="1"/>
    <col min="10499" max="10500" width="9.140625" style="12"/>
    <col min="10501" max="10501" width="7.140625" style="12" customWidth="1"/>
    <col min="10502" max="10502" width="7.28515625" style="12" customWidth="1"/>
    <col min="10503" max="10748" width="9.140625" style="12"/>
    <col min="10749" max="10749" width="6.7109375" style="12" customWidth="1"/>
    <col min="10750" max="10750" width="35.140625" style="12" customWidth="1"/>
    <col min="10751" max="10752" width="9.140625" style="12"/>
    <col min="10753" max="10753" width="10.28515625" style="12" customWidth="1"/>
    <col min="10754" max="10754" width="9.28515625" style="12" customWidth="1"/>
    <col min="10755" max="10756" width="9.140625" style="12"/>
    <col min="10757" max="10757" width="7.140625" style="12" customWidth="1"/>
    <col min="10758" max="10758" width="7.28515625" style="12" customWidth="1"/>
    <col min="10759" max="11004" width="9.140625" style="12"/>
    <col min="11005" max="11005" width="6.7109375" style="12" customWidth="1"/>
    <col min="11006" max="11006" width="35.140625" style="12" customWidth="1"/>
    <col min="11007" max="11008" width="9.140625" style="12"/>
    <col min="11009" max="11009" width="10.28515625" style="12" customWidth="1"/>
    <col min="11010" max="11010" width="9.28515625" style="12" customWidth="1"/>
    <col min="11011" max="11012" width="9.140625" style="12"/>
    <col min="11013" max="11013" width="7.140625" style="12" customWidth="1"/>
    <col min="11014" max="11014" width="7.28515625" style="12" customWidth="1"/>
    <col min="11015" max="11260" width="9.140625" style="12"/>
    <col min="11261" max="11261" width="6.7109375" style="12" customWidth="1"/>
    <col min="11262" max="11262" width="35.140625" style="12" customWidth="1"/>
    <col min="11263" max="11264" width="9.140625" style="12"/>
    <col min="11265" max="11265" width="10.28515625" style="12" customWidth="1"/>
    <col min="11266" max="11266" width="9.28515625" style="12" customWidth="1"/>
    <col min="11267" max="11268" width="9.140625" style="12"/>
    <col min="11269" max="11269" width="7.140625" style="12" customWidth="1"/>
    <col min="11270" max="11270" width="7.28515625" style="12" customWidth="1"/>
    <col min="11271" max="11516" width="9.140625" style="12"/>
    <col min="11517" max="11517" width="6.7109375" style="12" customWidth="1"/>
    <col min="11518" max="11518" width="35.140625" style="12" customWidth="1"/>
    <col min="11519" max="11520" width="9.140625" style="12"/>
    <col min="11521" max="11521" width="10.28515625" style="12" customWidth="1"/>
    <col min="11522" max="11522" width="9.28515625" style="12" customWidth="1"/>
    <col min="11523" max="11524" width="9.140625" style="12"/>
    <col min="11525" max="11525" width="7.140625" style="12" customWidth="1"/>
    <col min="11526" max="11526" width="7.28515625" style="12" customWidth="1"/>
    <col min="11527" max="11772" width="9.140625" style="12"/>
    <col min="11773" max="11773" width="6.7109375" style="12" customWidth="1"/>
    <col min="11774" max="11774" width="35.140625" style="12" customWidth="1"/>
    <col min="11775" max="11776" width="9.140625" style="12"/>
    <col min="11777" max="11777" width="10.28515625" style="12" customWidth="1"/>
    <col min="11778" max="11778" width="9.28515625" style="12" customWidth="1"/>
    <col min="11779" max="11780" width="9.140625" style="12"/>
    <col min="11781" max="11781" width="7.140625" style="12" customWidth="1"/>
    <col min="11782" max="11782" width="7.28515625" style="12" customWidth="1"/>
    <col min="11783" max="12028" width="9.140625" style="12"/>
    <col min="12029" max="12029" width="6.7109375" style="12" customWidth="1"/>
    <col min="12030" max="12030" width="35.140625" style="12" customWidth="1"/>
    <col min="12031" max="12032" width="9.140625" style="12"/>
    <col min="12033" max="12033" width="10.28515625" style="12" customWidth="1"/>
    <col min="12034" max="12034" width="9.28515625" style="12" customWidth="1"/>
    <col min="12035" max="12036" width="9.140625" style="12"/>
    <col min="12037" max="12037" width="7.140625" style="12" customWidth="1"/>
    <col min="12038" max="12038" width="7.28515625" style="12" customWidth="1"/>
    <col min="12039" max="12284" width="9.140625" style="12"/>
    <col min="12285" max="12285" width="6.7109375" style="12" customWidth="1"/>
    <col min="12286" max="12286" width="35.140625" style="12" customWidth="1"/>
    <col min="12287" max="12288" width="9.140625" style="12"/>
    <col min="12289" max="12289" width="10.28515625" style="12" customWidth="1"/>
    <col min="12290" max="12290" width="9.28515625" style="12" customWidth="1"/>
    <col min="12291" max="12292" width="9.140625" style="12"/>
    <col min="12293" max="12293" width="7.140625" style="12" customWidth="1"/>
    <col min="12294" max="12294" width="7.28515625" style="12" customWidth="1"/>
    <col min="12295" max="12540" width="9.140625" style="12"/>
    <col min="12541" max="12541" width="6.7109375" style="12" customWidth="1"/>
    <col min="12542" max="12542" width="35.140625" style="12" customWidth="1"/>
    <col min="12543" max="12544" width="9.140625" style="12"/>
    <col min="12545" max="12545" width="10.28515625" style="12" customWidth="1"/>
    <col min="12546" max="12546" width="9.28515625" style="12" customWidth="1"/>
    <col min="12547" max="12548" width="9.140625" style="12"/>
    <col min="12549" max="12549" width="7.140625" style="12" customWidth="1"/>
    <col min="12550" max="12550" width="7.28515625" style="12" customWidth="1"/>
    <col min="12551" max="12796" width="9.140625" style="12"/>
    <col min="12797" max="12797" width="6.7109375" style="12" customWidth="1"/>
    <col min="12798" max="12798" width="35.140625" style="12" customWidth="1"/>
    <col min="12799" max="12800" width="9.140625" style="12"/>
    <col min="12801" max="12801" width="10.28515625" style="12" customWidth="1"/>
    <col min="12802" max="12802" width="9.28515625" style="12" customWidth="1"/>
    <col min="12803" max="12804" width="9.140625" style="12"/>
    <col min="12805" max="12805" width="7.140625" style="12" customWidth="1"/>
    <col min="12806" max="12806" width="7.28515625" style="12" customWidth="1"/>
    <col min="12807" max="13052" width="9.140625" style="12"/>
    <col min="13053" max="13053" width="6.7109375" style="12" customWidth="1"/>
    <col min="13054" max="13054" width="35.140625" style="12" customWidth="1"/>
    <col min="13055" max="13056" width="9.140625" style="12"/>
    <col min="13057" max="13057" width="10.28515625" style="12" customWidth="1"/>
    <col min="13058" max="13058" width="9.28515625" style="12" customWidth="1"/>
    <col min="13059" max="13060" width="9.140625" style="12"/>
    <col min="13061" max="13061" width="7.140625" style="12" customWidth="1"/>
    <col min="13062" max="13062" width="7.28515625" style="12" customWidth="1"/>
    <col min="13063" max="13308" width="9.140625" style="12"/>
    <col min="13309" max="13309" width="6.7109375" style="12" customWidth="1"/>
    <col min="13310" max="13310" width="35.140625" style="12" customWidth="1"/>
    <col min="13311" max="13312" width="9.140625" style="12"/>
    <col min="13313" max="13313" width="10.28515625" style="12" customWidth="1"/>
    <col min="13314" max="13314" width="9.28515625" style="12" customWidth="1"/>
    <col min="13315" max="13316" width="9.140625" style="12"/>
    <col min="13317" max="13317" width="7.140625" style="12" customWidth="1"/>
    <col min="13318" max="13318" width="7.28515625" style="12" customWidth="1"/>
    <col min="13319" max="13564" width="9.140625" style="12"/>
    <col min="13565" max="13565" width="6.7109375" style="12" customWidth="1"/>
    <col min="13566" max="13566" width="35.140625" style="12" customWidth="1"/>
    <col min="13567" max="13568" width="9.140625" style="12"/>
    <col min="13569" max="13569" width="10.28515625" style="12" customWidth="1"/>
    <col min="13570" max="13570" width="9.28515625" style="12" customWidth="1"/>
    <col min="13571" max="13572" width="9.140625" style="12"/>
    <col min="13573" max="13573" width="7.140625" style="12" customWidth="1"/>
    <col min="13574" max="13574" width="7.28515625" style="12" customWidth="1"/>
    <col min="13575" max="13820" width="9.140625" style="12"/>
    <col min="13821" max="13821" width="6.7109375" style="12" customWidth="1"/>
    <col min="13822" max="13822" width="35.140625" style="12" customWidth="1"/>
    <col min="13823" max="13824" width="9.140625" style="12"/>
    <col min="13825" max="13825" width="10.28515625" style="12" customWidth="1"/>
    <col min="13826" max="13826" width="9.28515625" style="12" customWidth="1"/>
    <col min="13827" max="13828" width="9.140625" style="12"/>
    <col min="13829" max="13829" width="7.140625" style="12" customWidth="1"/>
    <col min="13830" max="13830" width="7.28515625" style="12" customWidth="1"/>
    <col min="13831" max="14076" width="9.140625" style="12"/>
    <col min="14077" max="14077" width="6.7109375" style="12" customWidth="1"/>
    <col min="14078" max="14078" width="35.140625" style="12" customWidth="1"/>
    <col min="14079" max="14080" width="9.140625" style="12"/>
    <col min="14081" max="14081" width="10.28515625" style="12" customWidth="1"/>
    <col min="14082" max="14082" width="9.28515625" style="12" customWidth="1"/>
    <col min="14083" max="14084" width="9.140625" style="12"/>
    <col min="14085" max="14085" width="7.140625" style="12" customWidth="1"/>
    <col min="14086" max="14086" width="7.28515625" style="12" customWidth="1"/>
    <col min="14087" max="14332" width="9.140625" style="12"/>
    <col min="14333" max="14333" width="6.7109375" style="12" customWidth="1"/>
    <col min="14334" max="14334" width="35.140625" style="12" customWidth="1"/>
    <col min="14335" max="14336" width="9.140625" style="12"/>
    <col min="14337" max="14337" width="10.28515625" style="12" customWidth="1"/>
    <col min="14338" max="14338" width="9.28515625" style="12" customWidth="1"/>
    <col min="14339" max="14340" width="9.140625" style="12"/>
    <col min="14341" max="14341" width="7.140625" style="12" customWidth="1"/>
    <col min="14342" max="14342" width="7.28515625" style="12" customWidth="1"/>
    <col min="14343" max="14588" width="9.140625" style="12"/>
    <col min="14589" max="14589" width="6.7109375" style="12" customWidth="1"/>
    <col min="14590" max="14590" width="35.140625" style="12" customWidth="1"/>
    <col min="14591" max="14592" width="9.140625" style="12"/>
    <col min="14593" max="14593" width="10.28515625" style="12" customWidth="1"/>
    <col min="14594" max="14594" width="9.28515625" style="12" customWidth="1"/>
    <col min="14595" max="14596" width="9.140625" style="12"/>
    <col min="14597" max="14597" width="7.140625" style="12" customWidth="1"/>
    <col min="14598" max="14598" width="7.28515625" style="12" customWidth="1"/>
    <col min="14599" max="14844" width="9.140625" style="12"/>
    <col min="14845" max="14845" width="6.7109375" style="12" customWidth="1"/>
    <col min="14846" max="14846" width="35.140625" style="12" customWidth="1"/>
    <col min="14847" max="14848" width="9.140625" style="12"/>
    <col min="14849" max="14849" width="10.28515625" style="12" customWidth="1"/>
    <col min="14850" max="14850" width="9.28515625" style="12" customWidth="1"/>
    <col min="14851" max="14852" width="9.140625" style="12"/>
    <col min="14853" max="14853" width="7.140625" style="12" customWidth="1"/>
    <col min="14854" max="14854" width="7.28515625" style="12" customWidth="1"/>
    <col min="14855" max="15100" width="9.140625" style="12"/>
    <col min="15101" max="15101" width="6.7109375" style="12" customWidth="1"/>
    <col min="15102" max="15102" width="35.140625" style="12" customWidth="1"/>
    <col min="15103" max="15104" width="9.140625" style="12"/>
    <col min="15105" max="15105" width="10.28515625" style="12" customWidth="1"/>
    <col min="15106" max="15106" width="9.28515625" style="12" customWidth="1"/>
    <col min="15107" max="15108" width="9.140625" style="12"/>
    <col min="15109" max="15109" width="7.140625" style="12" customWidth="1"/>
    <col min="15110" max="15110" width="7.28515625" style="12" customWidth="1"/>
    <col min="15111" max="15356" width="9.140625" style="12"/>
    <col min="15357" max="15357" width="6.7109375" style="12" customWidth="1"/>
    <col min="15358" max="15358" width="35.140625" style="12" customWidth="1"/>
    <col min="15359" max="15360" width="9.140625" style="12"/>
    <col min="15361" max="15361" width="10.28515625" style="12" customWidth="1"/>
    <col min="15362" max="15362" width="9.28515625" style="12" customWidth="1"/>
    <col min="15363" max="15364" width="9.140625" style="12"/>
    <col min="15365" max="15365" width="7.140625" style="12" customWidth="1"/>
    <col min="15366" max="15366" width="7.28515625" style="12" customWidth="1"/>
    <col min="15367" max="15612" width="9.140625" style="12"/>
    <col min="15613" max="15613" width="6.7109375" style="12" customWidth="1"/>
    <col min="15614" max="15614" width="35.140625" style="12" customWidth="1"/>
    <col min="15615" max="15616" width="9.140625" style="12"/>
    <col min="15617" max="15617" width="10.28515625" style="12" customWidth="1"/>
    <col min="15618" max="15618" width="9.28515625" style="12" customWidth="1"/>
    <col min="15619" max="15620" width="9.140625" style="12"/>
    <col min="15621" max="15621" width="7.140625" style="12" customWidth="1"/>
    <col min="15622" max="15622" width="7.28515625" style="12" customWidth="1"/>
    <col min="15623" max="15868" width="9.140625" style="12"/>
    <col min="15869" max="15869" width="6.7109375" style="12" customWidth="1"/>
    <col min="15870" max="15870" width="35.140625" style="12" customWidth="1"/>
    <col min="15871" max="15872" width="9.140625" style="12"/>
    <col min="15873" max="15873" width="10.28515625" style="12" customWidth="1"/>
    <col min="15874" max="15874" width="9.28515625" style="12" customWidth="1"/>
    <col min="15875" max="15876" width="9.140625" style="12"/>
    <col min="15877" max="15877" width="7.140625" style="12" customWidth="1"/>
    <col min="15878" max="15878" width="7.28515625" style="12" customWidth="1"/>
    <col min="15879" max="16124" width="9.140625" style="12"/>
    <col min="16125" max="16125" width="6.7109375" style="12" customWidth="1"/>
    <col min="16126" max="16126" width="35.140625" style="12" customWidth="1"/>
    <col min="16127" max="16128" width="9.140625" style="12"/>
    <col min="16129" max="16129" width="10.28515625" style="12" customWidth="1"/>
    <col min="16130" max="16130" width="9.28515625" style="12" customWidth="1"/>
    <col min="16131" max="16132" width="9.140625" style="12"/>
    <col min="16133" max="16133" width="7.140625" style="12" customWidth="1"/>
    <col min="16134" max="16134" width="7.28515625" style="12" customWidth="1"/>
    <col min="16135" max="16384" width="9.140625" style="12"/>
  </cols>
  <sheetData>
    <row r="1" spans="1:6" s="1376" customFormat="1" x14ac:dyDescent="0.25">
      <c r="A1" s="2059" t="s">
        <v>652</v>
      </c>
      <c r="B1" s="2059"/>
      <c r="E1" s="2063" t="s">
        <v>767</v>
      </c>
      <c r="F1" s="2063"/>
    </row>
    <row r="2" spans="1:6" s="1376" customFormat="1" x14ac:dyDescent="0.25">
      <c r="A2" s="2059"/>
      <c r="B2" s="2059"/>
    </row>
    <row r="3" spans="1:6" s="1376" customFormat="1" ht="22.5" customHeight="1" x14ac:dyDescent="0.25">
      <c r="A3" s="1285"/>
      <c r="B3" s="2054" t="s">
        <v>851</v>
      </c>
      <c r="C3" s="2054"/>
      <c r="D3" s="2054"/>
      <c r="E3" s="2054"/>
      <c r="F3" s="2054"/>
    </row>
    <row r="4" spans="1:6" s="1376" customFormat="1" ht="22.5" customHeight="1" x14ac:dyDescent="0.25">
      <c r="A4" s="1859" t="str">
        <f>'48N'!A4:F4</f>
        <v>(Kèm theo Tờ trình số    /TTr-KTHT&amp;ĐT ngày      /4/2026 của phòng KTHT&amp;ĐT phường Đức Xuân)</v>
      </c>
      <c r="B4" s="1859"/>
      <c r="C4" s="1859"/>
      <c r="D4" s="1859"/>
      <c r="E4" s="1859"/>
      <c r="F4" s="1859"/>
    </row>
    <row r="5" spans="1:6" ht="22.5" customHeight="1" x14ac:dyDescent="0.25"/>
    <row r="6" spans="1:6" s="1376" customFormat="1" x14ac:dyDescent="0.25">
      <c r="A6" s="2060" t="s">
        <v>1</v>
      </c>
      <c r="B6" s="1989" t="s">
        <v>2</v>
      </c>
      <c r="C6" s="1860" t="s">
        <v>15</v>
      </c>
      <c r="D6" s="1860"/>
      <c r="E6" s="1860" t="s">
        <v>43</v>
      </c>
      <c r="F6" s="2062"/>
    </row>
    <row r="7" spans="1:6" s="1376" customFormat="1" ht="25.5" customHeight="1" x14ac:dyDescent="0.25">
      <c r="A7" s="2060"/>
      <c r="B7" s="2061"/>
      <c r="C7" s="1860" t="s">
        <v>768</v>
      </c>
      <c r="D7" s="1860" t="s">
        <v>769</v>
      </c>
      <c r="E7" s="1860" t="s">
        <v>821</v>
      </c>
      <c r="F7" s="1860"/>
    </row>
    <row r="8" spans="1:6" s="1376" customFormat="1" ht="31.5" x14ac:dyDescent="0.25">
      <c r="A8" s="2060"/>
      <c r="B8" s="1990"/>
      <c r="C8" s="1860"/>
      <c r="D8" s="1860"/>
      <c r="E8" s="1378" t="s">
        <v>768</v>
      </c>
      <c r="F8" s="1378" t="s">
        <v>769</v>
      </c>
    </row>
    <row r="9" spans="1:6" s="994" customFormat="1" ht="15" x14ac:dyDescent="0.25">
      <c r="A9" s="1305" t="s">
        <v>4</v>
      </c>
      <c r="B9" s="1305" t="s">
        <v>5</v>
      </c>
      <c r="C9" s="1305">
        <v>1</v>
      </c>
      <c r="D9" s="1305">
        <v>2</v>
      </c>
      <c r="E9" s="1305">
        <v>3</v>
      </c>
      <c r="F9" s="1305">
        <v>4</v>
      </c>
    </row>
    <row r="10" spans="1:6" s="1376" customFormat="1" ht="24" customHeight="1" x14ac:dyDescent="0.25">
      <c r="A10" s="1496" t="s">
        <v>6</v>
      </c>
      <c r="B10" s="1389" t="s">
        <v>770</v>
      </c>
      <c r="C10" s="1500">
        <f>C11</f>
        <v>747200</v>
      </c>
      <c r="D10" s="1500">
        <f t="shared" ref="D10:F10" si="0">D11</f>
        <v>0</v>
      </c>
      <c r="E10" s="1500">
        <f t="shared" si="0"/>
        <v>747200</v>
      </c>
      <c r="F10" s="1500">
        <f t="shared" si="0"/>
        <v>0</v>
      </c>
    </row>
    <row r="11" spans="1:6" ht="24" customHeight="1" x14ac:dyDescent="0.25">
      <c r="A11" s="1387">
        <v>1</v>
      </c>
      <c r="B11" s="1391" t="s">
        <v>820</v>
      </c>
      <c r="C11" s="1501">
        <v>747200</v>
      </c>
      <c r="D11" s="1501"/>
      <c r="E11" s="1501">
        <v>747200</v>
      </c>
      <c r="F11" s="1501"/>
    </row>
    <row r="12" spans="1:6" s="1376" customFormat="1" ht="24" customHeight="1" x14ac:dyDescent="0.25">
      <c r="A12" s="1496" t="s">
        <v>12</v>
      </c>
      <c r="B12" s="1389" t="s">
        <v>107</v>
      </c>
      <c r="C12" s="1500"/>
      <c r="D12" s="1500"/>
      <c r="E12" s="1500"/>
      <c r="F12" s="1500"/>
    </row>
    <row r="13" spans="1:6" s="1504" customFormat="1" ht="36" customHeight="1" x14ac:dyDescent="0.25">
      <c r="A13" s="1497">
        <v>1</v>
      </c>
      <c r="B13" s="1502" t="s">
        <v>771</v>
      </c>
      <c r="C13" s="1503">
        <f>SUM(C14:C15)</f>
        <v>0</v>
      </c>
      <c r="D13" s="1503">
        <f t="shared" ref="D13:F13" si="1">SUM(D14:D15)</f>
        <v>0</v>
      </c>
      <c r="E13" s="1503">
        <f t="shared" si="1"/>
        <v>747200</v>
      </c>
      <c r="F13" s="1503">
        <f t="shared" si="1"/>
        <v>0</v>
      </c>
    </row>
    <row r="14" spans="1:6" ht="50.25" customHeight="1" x14ac:dyDescent="0.25">
      <c r="A14" s="1387"/>
      <c r="B14" s="1418" t="s">
        <v>852</v>
      </c>
      <c r="C14" s="1501"/>
      <c r="D14" s="1501"/>
      <c r="E14" s="1499">
        <v>507200</v>
      </c>
      <c r="F14" s="1501"/>
    </row>
    <row r="15" spans="1:6" ht="51" customHeight="1" x14ac:dyDescent="0.25">
      <c r="A15" s="1387" t="s">
        <v>534</v>
      </c>
      <c r="B15" s="1498" t="s">
        <v>853</v>
      </c>
      <c r="C15" s="1501"/>
      <c r="D15" s="1501"/>
      <c r="E15" s="1499">
        <v>240000</v>
      </c>
      <c r="F15" s="1501"/>
    </row>
    <row r="16" spans="1:6" x14ac:dyDescent="0.25">
      <c r="B16" s="1379"/>
    </row>
    <row r="17" spans="1:7" s="1383" customFormat="1" x14ac:dyDescent="0.25">
      <c r="A17" s="1380"/>
      <c r="B17" s="1381"/>
      <c r="C17" s="2064" t="s">
        <v>854</v>
      </c>
      <c r="D17" s="2064"/>
      <c r="E17" s="2064"/>
      <c r="F17" s="2064"/>
      <c r="G17" s="1382"/>
    </row>
    <row r="18" spans="1:7" s="1385" customFormat="1" ht="27.75" customHeight="1" x14ac:dyDescent="0.25">
      <c r="A18" s="1384"/>
      <c r="B18" s="1381"/>
      <c r="C18" s="2065" t="s">
        <v>775</v>
      </c>
      <c r="D18" s="2065"/>
      <c r="E18" s="2065"/>
      <c r="F18" s="2065"/>
    </row>
    <row r="19" spans="1:7" s="1385" customFormat="1" x14ac:dyDescent="0.25">
      <c r="A19" s="1384"/>
      <c r="B19" s="1381"/>
      <c r="C19" s="2064" t="s">
        <v>772</v>
      </c>
      <c r="D19" s="2064"/>
      <c r="E19" s="2064"/>
      <c r="F19" s="2064"/>
    </row>
    <row r="20" spans="1:7" x14ac:dyDescent="0.25">
      <c r="B20" s="1379"/>
    </row>
    <row r="21" spans="1:7" x14ac:dyDescent="0.25">
      <c r="B21" s="1379"/>
    </row>
    <row r="22" spans="1:7" x14ac:dyDescent="0.25">
      <c r="B22" s="1379"/>
    </row>
    <row r="25" spans="1:7" x14ac:dyDescent="0.25">
      <c r="C25" s="1840" t="s">
        <v>460</v>
      </c>
      <c r="D25" s="1840"/>
      <c r="E25" s="1840"/>
      <c r="F25" s="1840"/>
    </row>
  </sheetData>
  <mergeCells count="16">
    <mergeCell ref="C25:F25"/>
    <mergeCell ref="A1:B1"/>
    <mergeCell ref="A2:B2"/>
    <mergeCell ref="B3:F3"/>
    <mergeCell ref="A6:A8"/>
    <mergeCell ref="B6:B8"/>
    <mergeCell ref="C6:D6"/>
    <mergeCell ref="E6:F6"/>
    <mergeCell ref="C7:C8"/>
    <mergeCell ref="D7:D8"/>
    <mergeCell ref="E7:F7"/>
    <mergeCell ref="E1:F1"/>
    <mergeCell ref="C17:F17"/>
    <mergeCell ref="C19:F19"/>
    <mergeCell ref="C18:F18"/>
    <mergeCell ref="A4:F4"/>
  </mergeCells>
  <printOptions horizontalCentered="1"/>
  <pageMargins left="0.2" right="0.21" top="0.75" bottom="0.75" header="0.3" footer="0.3"/>
  <pageSetup paperSize="9" orientation="portrait" verticalDpi="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11"/>
  <sheetViews>
    <sheetView view="pageLayout" zoomScaleNormal="100" workbookViewId="0">
      <selection activeCell="B7" sqref="B7:C7"/>
    </sheetView>
  </sheetViews>
  <sheetFormatPr defaultRowHeight="15" x14ac:dyDescent="0.25"/>
  <cols>
    <col min="1" max="1" width="5" customWidth="1"/>
    <col min="2" max="2" width="31" style="279" customWidth="1"/>
    <col min="3" max="3" width="36" customWidth="1"/>
    <col min="4" max="4" width="9.85546875" style="106" customWidth="1"/>
    <col min="5" max="5" width="13.5703125" customWidth="1"/>
    <col min="6" max="6" width="12.5703125" customWidth="1"/>
    <col min="7" max="7" width="14.140625" customWidth="1"/>
    <col min="8" max="8" width="11.5703125" customWidth="1"/>
    <col min="10" max="10" width="11.140625" bestFit="1" customWidth="1"/>
    <col min="257" max="257" width="5" customWidth="1"/>
    <col min="258" max="258" width="31" customWidth="1"/>
    <col min="259" max="259" width="36" customWidth="1"/>
    <col min="260" max="260" width="9.85546875" customWidth="1"/>
    <col min="261" max="261" width="13.5703125" customWidth="1"/>
    <col min="262" max="262" width="12.5703125" customWidth="1"/>
    <col min="263" max="263" width="14.140625" customWidth="1"/>
    <col min="264" max="264" width="11.5703125" customWidth="1"/>
    <col min="266" max="266" width="11.140625" bestFit="1" customWidth="1"/>
    <col min="513" max="513" width="5" customWidth="1"/>
    <col min="514" max="514" width="31" customWidth="1"/>
    <col min="515" max="515" width="36" customWidth="1"/>
    <col min="516" max="516" width="9.85546875" customWidth="1"/>
    <col min="517" max="517" width="13.5703125" customWidth="1"/>
    <col min="518" max="518" width="12.5703125" customWidth="1"/>
    <col min="519" max="519" width="14.140625" customWidth="1"/>
    <col min="520" max="520" width="11.5703125" customWidth="1"/>
    <col min="522" max="522" width="11.140625" bestFit="1" customWidth="1"/>
    <col min="769" max="769" width="5" customWidth="1"/>
    <col min="770" max="770" width="31" customWidth="1"/>
    <col min="771" max="771" width="36" customWidth="1"/>
    <col min="772" max="772" width="9.85546875" customWidth="1"/>
    <col min="773" max="773" width="13.5703125" customWidth="1"/>
    <col min="774" max="774" width="12.5703125" customWidth="1"/>
    <col min="775" max="775" width="14.140625" customWidth="1"/>
    <col min="776" max="776" width="11.5703125" customWidth="1"/>
    <col min="778" max="778" width="11.140625" bestFit="1" customWidth="1"/>
    <col min="1025" max="1025" width="5" customWidth="1"/>
    <col min="1026" max="1026" width="31" customWidth="1"/>
    <col min="1027" max="1027" width="36" customWidth="1"/>
    <col min="1028" max="1028" width="9.85546875" customWidth="1"/>
    <col min="1029" max="1029" width="13.5703125" customWidth="1"/>
    <col min="1030" max="1030" width="12.5703125" customWidth="1"/>
    <col min="1031" max="1031" width="14.140625" customWidth="1"/>
    <col min="1032" max="1032" width="11.5703125" customWidth="1"/>
    <col min="1034" max="1034" width="11.140625" bestFit="1" customWidth="1"/>
    <col min="1281" max="1281" width="5" customWidth="1"/>
    <col min="1282" max="1282" width="31" customWidth="1"/>
    <col min="1283" max="1283" width="36" customWidth="1"/>
    <col min="1284" max="1284" width="9.85546875" customWidth="1"/>
    <col min="1285" max="1285" width="13.5703125" customWidth="1"/>
    <col min="1286" max="1286" width="12.5703125" customWidth="1"/>
    <col min="1287" max="1287" width="14.140625" customWidth="1"/>
    <col min="1288" max="1288" width="11.5703125" customWidth="1"/>
    <col min="1290" max="1290" width="11.140625" bestFit="1" customWidth="1"/>
    <col min="1537" max="1537" width="5" customWidth="1"/>
    <col min="1538" max="1538" width="31" customWidth="1"/>
    <col min="1539" max="1539" width="36" customWidth="1"/>
    <col min="1540" max="1540" width="9.85546875" customWidth="1"/>
    <col min="1541" max="1541" width="13.5703125" customWidth="1"/>
    <col min="1542" max="1542" width="12.5703125" customWidth="1"/>
    <col min="1543" max="1543" width="14.140625" customWidth="1"/>
    <col min="1544" max="1544" width="11.5703125" customWidth="1"/>
    <col min="1546" max="1546" width="11.140625" bestFit="1" customWidth="1"/>
    <col min="1793" max="1793" width="5" customWidth="1"/>
    <col min="1794" max="1794" width="31" customWidth="1"/>
    <col min="1795" max="1795" width="36" customWidth="1"/>
    <col min="1796" max="1796" width="9.85546875" customWidth="1"/>
    <col min="1797" max="1797" width="13.5703125" customWidth="1"/>
    <col min="1798" max="1798" width="12.5703125" customWidth="1"/>
    <col min="1799" max="1799" width="14.140625" customWidth="1"/>
    <col min="1800" max="1800" width="11.5703125" customWidth="1"/>
    <col min="1802" max="1802" width="11.140625" bestFit="1" customWidth="1"/>
    <col min="2049" max="2049" width="5" customWidth="1"/>
    <col min="2050" max="2050" width="31" customWidth="1"/>
    <col min="2051" max="2051" width="36" customWidth="1"/>
    <col min="2052" max="2052" width="9.85546875" customWidth="1"/>
    <col min="2053" max="2053" width="13.5703125" customWidth="1"/>
    <col min="2054" max="2054" width="12.5703125" customWidth="1"/>
    <col min="2055" max="2055" width="14.140625" customWidth="1"/>
    <col min="2056" max="2056" width="11.5703125" customWidth="1"/>
    <col min="2058" max="2058" width="11.140625" bestFit="1" customWidth="1"/>
    <col min="2305" max="2305" width="5" customWidth="1"/>
    <col min="2306" max="2306" width="31" customWidth="1"/>
    <col min="2307" max="2307" width="36" customWidth="1"/>
    <col min="2308" max="2308" width="9.85546875" customWidth="1"/>
    <col min="2309" max="2309" width="13.5703125" customWidth="1"/>
    <col min="2310" max="2310" width="12.5703125" customWidth="1"/>
    <col min="2311" max="2311" width="14.140625" customWidth="1"/>
    <col min="2312" max="2312" width="11.5703125" customWidth="1"/>
    <col min="2314" max="2314" width="11.140625" bestFit="1" customWidth="1"/>
    <col min="2561" max="2561" width="5" customWidth="1"/>
    <col min="2562" max="2562" width="31" customWidth="1"/>
    <col min="2563" max="2563" width="36" customWidth="1"/>
    <col min="2564" max="2564" width="9.85546875" customWidth="1"/>
    <col min="2565" max="2565" width="13.5703125" customWidth="1"/>
    <col min="2566" max="2566" width="12.5703125" customWidth="1"/>
    <col min="2567" max="2567" width="14.140625" customWidth="1"/>
    <col min="2568" max="2568" width="11.5703125" customWidth="1"/>
    <col min="2570" max="2570" width="11.140625" bestFit="1" customWidth="1"/>
    <col min="2817" max="2817" width="5" customWidth="1"/>
    <col min="2818" max="2818" width="31" customWidth="1"/>
    <col min="2819" max="2819" width="36" customWidth="1"/>
    <col min="2820" max="2820" width="9.85546875" customWidth="1"/>
    <col min="2821" max="2821" width="13.5703125" customWidth="1"/>
    <col min="2822" max="2822" width="12.5703125" customWidth="1"/>
    <col min="2823" max="2823" width="14.140625" customWidth="1"/>
    <col min="2824" max="2824" width="11.5703125" customWidth="1"/>
    <col min="2826" max="2826" width="11.140625" bestFit="1" customWidth="1"/>
    <col min="3073" max="3073" width="5" customWidth="1"/>
    <col min="3074" max="3074" width="31" customWidth="1"/>
    <col min="3075" max="3075" width="36" customWidth="1"/>
    <col min="3076" max="3076" width="9.85546875" customWidth="1"/>
    <col min="3077" max="3077" width="13.5703125" customWidth="1"/>
    <col min="3078" max="3078" width="12.5703125" customWidth="1"/>
    <col min="3079" max="3079" width="14.140625" customWidth="1"/>
    <col min="3080" max="3080" width="11.5703125" customWidth="1"/>
    <col min="3082" max="3082" width="11.140625" bestFit="1" customWidth="1"/>
    <col min="3329" max="3329" width="5" customWidth="1"/>
    <col min="3330" max="3330" width="31" customWidth="1"/>
    <col min="3331" max="3331" width="36" customWidth="1"/>
    <col min="3332" max="3332" width="9.85546875" customWidth="1"/>
    <col min="3333" max="3333" width="13.5703125" customWidth="1"/>
    <col min="3334" max="3334" width="12.5703125" customWidth="1"/>
    <col min="3335" max="3335" width="14.140625" customWidth="1"/>
    <col min="3336" max="3336" width="11.5703125" customWidth="1"/>
    <col min="3338" max="3338" width="11.140625" bestFit="1" customWidth="1"/>
    <col min="3585" max="3585" width="5" customWidth="1"/>
    <col min="3586" max="3586" width="31" customWidth="1"/>
    <col min="3587" max="3587" width="36" customWidth="1"/>
    <col min="3588" max="3588" width="9.85546875" customWidth="1"/>
    <col min="3589" max="3589" width="13.5703125" customWidth="1"/>
    <col min="3590" max="3590" width="12.5703125" customWidth="1"/>
    <col min="3591" max="3591" width="14.140625" customWidth="1"/>
    <col min="3592" max="3592" width="11.5703125" customWidth="1"/>
    <col min="3594" max="3594" width="11.140625" bestFit="1" customWidth="1"/>
    <col min="3841" max="3841" width="5" customWidth="1"/>
    <col min="3842" max="3842" width="31" customWidth="1"/>
    <col min="3843" max="3843" width="36" customWidth="1"/>
    <col min="3844" max="3844" width="9.85546875" customWidth="1"/>
    <col min="3845" max="3845" width="13.5703125" customWidth="1"/>
    <col min="3846" max="3846" width="12.5703125" customWidth="1"/>
    <col min="3847" max="3847" width="14.140625" customWidth="1"/>
    <col min="3848" max="3848" width="11.5703125" customWidth="1"/>
    <col min="3850" max="3850" width="11.140625" bestFit="1" customWidth="1"/>
    <col min="4097" max="4097" width="5" customWidth="1"/>
    <col min="4098" max="4098" width="31" customWidth="1"/>
    <col min="4099" max="4099" width="36" customWidth="1"/>
    <col min="4100" max="4100" width="9.85546875" customWidth="1"/>
    <col min="4101" max="4101" width="13.5703125" customWidth="1"/>
    <col min="4102" max="4102" width="12.5703125" customWidth="1"/>
    <col min="4103" max="4103" width="14.140625" customWidth="1"/>
    <col min="4104" max="4104" width="11.5703125" customWidth="1"/>
    <col min="4106" max="4106" width="11.140625" bestFit="1" customWidth="1"/>
    <col min="4353" max="4353" width="5" customWidth="1"/>
    <col min="4354" max="4354" width="31" customWidth="1"/>
    <col min="4355" max="4355" width="36" customWidth="1"/>
    <col min="4356" max="4356" width="9.85546875" customWidth="1"/>
    <col min="4357" max="4357" width="13.5703125" customWidth="1"/>
    <col min="4358" max="4358" width="12.5703125" customWidth="1"/>
    <col min="4359" max="4359" width="14.140625" customWidth="1"/>
    <col min="4360" max="4360" width="11.5703125" customWidth="1"/>
    <col min="4362" max="4362" width="11.140625" bestFit="1" customWidth="1"/>
    <col min="4609" max="4609" width="5" customWidth="1"/>
    <col min="4610" max="4610" width="31" customWidth="1"/>
    <col min="4611" max="4611" width="36" customWidth="1"/>
    <col min="4612" max="4612" width="9.85546875" customWidth="1"/>
    <col min="4613" max="4613" width="13.5703125" customWidth="1"/>
    <col min="4614" max="4614" width="12.5703125" customWidth="1"/>
    <col min="4615" max="4615" width="14.140625" customWidth="1"/>
    <col min="4616" max="4616" width="11.5703125" customWidth="1"/>
    <col min="4618" max="4618" width="11.140625" bestFit="1" customWidth="1"/>
    <col min="4865" max="4865" width="5" customWidth="1"/>
    <col min="4866" max="4866" width="31" customWidth="1"/>
    <col min="4867" max="4867" width="36" customWidth="1"/>
    <col min="4868" max="4868" width="9.85546875" customWidth="1"/>
    <col min="4869" max="4869" width="13.5703125" customWidth="1"/>
    <col min="4870" max="4870" width="12.5703125" customWidth="1"/>
    <col min="4871" max="4871" width="14.140625" customWidth="1"/>
    <col min="4872" max="4872" width="11.5703125" customWidth="1"/>
    <col min="4874" max="4874" width="11.140625" bestFit="1" customWidth="1"/>
    <col min="5121" max="5121" width="5" customWidth="1"/>
    <col min="5122" max="5122" width="31" customWidth="1"/>
    <col min="5123" max="5123" width="36" customWidth="1"/>
    <col min="5124" max="5124" width="9.85546875" customWidth="1"/>
    <col min="5125" max="5125" width="13.5703125" customWidth="1"/>
    <col min="5126" max="5126" width="12.5703125" customWidth="1"/>
    <col min="5127" max="5127" width="14.140625" customWidth="1"/>
    <col min="5128" max="5128" width="11.5703125" customWidth="1"/>
    <col min="5130" max="5130" width="11.140625" bestFit="1" customWidth="1"/>
    <col min="5377" max="5377" width="5" customWidth="1"/>
    <col min="5378" max="5378" width="31" customWidth="1"/>
    <col min="5379" max="5379" width="36" customWidth="1"/>
    <col min="5380" max="5380" width="9.85546875" customWidth="1"/>
    <col min="5381" max="5381" width="13.5703125" customWidth="1"/>
    <col min="5382" max="5382" width="12.5703125" customWidth="1"/>
    <col min="5383" max="5383" width="14.140625" customWidth="1"/>
    <col min="5384" max="5384" width="11.5703125" customWidth="1"/>
    <col min="5386" max="5386" width="11.140625" bestFit="1" customWidth="1"/>
    <col min="5633" max="5633" width="5" customWidth="1"/>
    <col min="5634" max="5634" width="31" customWidth="1"/>
    <col min="5635" max="5635" width="36" customWidth="1"/>
    <col min="5636" max="5636" width="9.85546875" customWidth="1"/>
    <col min="5637" max="5637" width="13.5703125" customWidth="1"/>
    <col min="5638" max="5638" width="12.5703125" customWidth="1"/>
    <col min="5639" max="5639" width="14.140625" customWidth="1"/>
    <col min="5640" max="5640" width="11.5703125" customWidth="1"/>
    <col min="5642" max="5642" width="11.140625" bestFit="1" customWidth="1"/>
    <col min="5889" max="5889" width="5" customWidth="1"/>
    <col min="5890" max="5890" width="31" customWidth="1"/>
    <col min="5891" max="5891" width="36" customWidth="1"/>
    <col min="5892" max="5892" width="9.85546875" customWidth="1"/>
    <col min="5893" max="5893" width="13.5703125" customWidth="1"/>
    <col min="5894" max="5894" width="12.5703125" customWidth="1"/>
    <col min="5895" max="5895" width="14.140625" customWidth="1"/>
    <col min="5896" max="5896" width="11.5703125" customWidth="1"/>
    <col min="5898" max="5898" width="11.140625" bestFit="1" customWidth="1"/>
    <col min="6145" max="6145" width="5" customWidth="1"/>
    <col min="6146" max="6146" width="31" customWidth="1"/>
    <col min="6147" max="6147" width="36" customWidth="1"/>
    <col min="6148" max="6148" width="9.85546875" customWidth="1"/>
    <col min="6149" max="6149" width="13.5703125" customWidth="1"/>
    <col min="6150" max="6150" width="12.5703125" customWidth="1"/>
    <col min="6151" max="6151" width="14.140625" customWidth="1"/>
    <col min="6152" max="6152" width="11.5703125" customWidth="1"/>
    <col min="6154" max="6154" width="11.140625" bestFit="1" customWidth="1"/>
    <col min="6401" max="6401" width="5" customWidth="1"/>
    <col min="6402" max="6402" width="31" customWidth="1"/>
    <col min="6403" max="6403" width="36" customWidth="1"/>
    <col min="6404" max="6404" width="9.85546875" customWidth="1"/>
    <col min="6405" max="6405" width="13.5703125" customWidth="1"/>
    <col min="6406" max="6406" width="12.5703125" customWidth="1"/>
    <col min="6407" max="6407" width="14.140625" customWidth="1"/>
    <col min="6408" max="6408" width="11.5703125" customWidth="1"/>
    <col min="6410" max="6410" width="11.140625" bestFit="1" customWidth="1"/>
    <col min="6657" max="6657" width="5" customWidth="1"/>
    <col min="6658" max="6658" width="31" customWidth="1"/>
    <col min="6659" max="6659" width="36" customWidth="1"/>
    <col min="6660" max="6660" width="9.85546875" customWidth="1"/>
    <col min="6661" max="6661" width="13.5703125" customWidth="1"/>
    <col min="6662" max="6662" width="12.5703125" customWidth="1"/>
    <col min="6663" max="6663" width="14.140625" customWidth="1"/>
    <col min="6664" max="6664" width="11.5703125" customWidth="1"/>
    <col min="6666" max="6666" width="11.140625" bestFit="1" customWidth="1"/>
    <col min="6913" max="6913" width="5" customWidth="1"/>
    <col min="6914" max="6914" width="31" customWidth="1"/>
    <col min="6915" max="6915" width="36" customWidth="1"/>
    <col min="6916" max="6916" width="9.85546875" customWidth="1"/>
    <col min="6917" max="6917" width="13.5703125" customWidth="1"/>
    <col min="6918" max="6918" width="12.5703125" customWidth="1"/>
    <col min="6919" max="6919" width="14.140625" customWidth="1"/>
    <col min="6920" max="6920" width="11.5703125" customWidth="1"/>
    <col min="6922" max="6922" width="11.140625" bestFit="1" customWidth="1"/>
    <col min="7169" max="7169" width="5" customWidth="1"/>
    <col min="7170" max="7170" width="31" customWidth="1"/>
    <col min="7171" max="7171" width="36" customWidth="1"/>
    <col min="7172" max="7172" width="9.85546875" customWidth="1"/>
    <col min="7173" max="7173" width="13.5703125" customWidth="1"/>
    <col min="7174" max="7174" width="12.5703125" customWidth="1"/>
    <col min="7175" max="7175" width="14.140625" customWidth="1"/>
    <col min="7176" max="7176" width="11.5703125" customWidth="1"/>
    <col min="7178" max="7178" width="11.140625" bestFit="1" customWidth="1"/>
    <col min="7425" max="7425" width="5" customWidth="1"/>
    <col min="7426" max="7426" width="31" customWidth="1"/>
    <col min="7427" max="7427" width="36" customWidth="1"/>
    <col min="7428" max="7428" width="9.85546875" customWidth="1"/>
    <col min="7429" max="7429" width="13.5703125" customWidth="1"/>
    <col min="7430" max="7430" width="12.5703125" customWidth="1"/>
    <col min="7431" max="7431" width="14.140625" customWidth="1"/>
    <col min="7432" max="7432" width="11.5703125" customWidth="1"/>
    <col min="7434" max="7434" width="11.140625" bestFit="1" customWidth="1"/>
    <col min="7681" max="7681" width="5" customWidth="1"/>
    <col min="7682" max="7682" width="31" customWidth="1"/>
    <col min="7683" max="7683" width="36" customWidth="1"/>
    <col min="7684" max="7684" width="9.85546875" customWidth="1"/>
    <col min="7685" max="7685" width="13.5703125" customWidth="1"/>
    <col min="7686" max="7686" width="12.5703125" customWidth="1"/>
    <col min="7687" max="7687" width="14.140625" customWidth="1"/>
    <col min="7688" max="7688" width="11.5703125" customWidth="1"/>
    <col min="7690" max="7690" width="11.140625" bestFit="1" customWidth="1"/>
    <col min="7937" max="7937" width="5" customWidth="1"/>
    <col min="7938" max="7938" width="31" customWidth="1"/>
    <col min="7939" max="7939" width="36" customWidth="1"/>
    <col min="7940" max="7940" width="9.85546875" customWidth="1"/>
    <col min="7941" max="7941" width="13.5703125" customWidth="1"/>
    <col min="7942" max="7942" width="12.5703125" customWidth="1"/>
    <col min="7943" max="7943" width="14.140625" customWidth="1"/>
    <col min="7944" max="7944" width="11.5703125" customWidth="1"/>
    <col min="7946" max="7946" width="11.140625" bestFit="1" customWidth="1"/>
    <col min="8193" max="8193" width="5" customWidth="1"/>
    <col min="8194" max="8194" width="31" customWidth="1"/>
    <col min="8195" max="8195" width="36" customWidth="1"/>
    <col min="8196" max="8196" width="9.85546875" customWidth="1"/>
    <col min="8197" max="8197" width="13.5703125" customWidth="1"/>
    <col min="8198" max="8198" width="12.5703125" customWidth="1"/>
    <col min="8199" max="8199" width="14.140625" customWidth="1"/>
    <col min="8200" max="8200" width="11.5703125" customWidth="1"/>
    <col min="8202" max="8202" width="11.140625" bestFit="1" customWidth="1"/>
    <col min="8449" max="8449" width="5" customWidth="1"/>
    <col min="8450" max="8450" width="31" customWidth="1"/>
    <col min="8451" max="8451" width="36" customWidth="1"/>
    <col min="8452" max="8452" width="9.85546875" customWidth="1"/>
    <col min="8453" max="8453" width="13.5703125" customWidth="1"/>
    <col min="8454" max="8454" width="12.5703125" customWidth="1"/>
    <col min="8455" max="8455" width="14.140625" customWidth="1"/>
    <col min="8456" max="8456" width="11.5703125" customWidth="1"/>
    <col min="8458" max="8458" width="11.140625" bestFit="1" customWidth="1"/>
    <col min="8705" max="8705" width="5" customWidth="1"/>
    <col min="8706" max="8706" width="31" customWidth="1"/>
    <col min="8707" max="8707" width="36" customWidth="1"/>
    <col min="8708" max="8708" width="9.85546875" customWidth="1"/>
    <col min="8709" max="8709" width="13.5703125" customWidth="1"/>
    <col min="8710" max="8710" width="12.5703125" customWidth="1"/>
    <col min="8711" max="8711" width="14.140625" customWidth="1"/>
    <col min="8712" max="8712" width="11.5703125" customWidth="1"/>
    <col min="8714" max="8714" width="11.140625" bestFit="1" customWidth="1"/>
    <col min="8961" max="8961" width="5" customWidth="1"/>
    <col min="8962" max="8962" width="31" customWidth="1"/>
    <col min="8963" max="8963" width="36" customWidth="1"/>
    <col min="8964" max="8964" width="9.85546875" customWidth="1"/>
    <col min="8965" max="8965" width="13.5703125" customWidth="1"/>
    <col min="8966" max="8966" width="12.5703125" customWidth="1"/>
    <col min="8967" max="8967" width="14.140625" customWidth="1"/>
    <col min="8968" max="8968" width="11.5703125" customWidth="1"/>
    <col min="8970" max="8970" width="11.140625" bestFit="1" customWidth="1"/>
    <col min="9217" max="9217" width="5" customWidth="1"/>
    <col min="9218" max="9218" width="31" customWidth="1"/>
    <col min="9219" max="9219" width="36" customWidth="1"/>
    <col min="9220" max="9220" width="9.85546875" customWidth="1"/>
    <col min="9221" max="9221" width="13.5703125" customWidth="1"/>
    <col min="9222" max="9222" width="12.5703125" customWidth="1"/>
    <col min="9223" max="9223" width="14.140625" customWidth="1"/>
    <col min="9224" max="9224" width="11.5703125" customWidth="1"/>
    <col min="9226" max="9226" width="11.140625" bestFit="1" customWidth="1"/>
    <col min="9473" max="9473" width="5" customWidth="1"/>
    <col min="9474" max="9474" width="31" customWidth="1"/>
    <col min="9475" max="9475" width="36" customWidth="1"/>
    <col min="9476" max="9476" width="9.85546875" customWidth="1"/>
    <col min="9477" max="9477" width="13.5703125" customWidth="1"/>
    <col min="9478" max="9478" width="12.5703125" customWidth="1"/>
    <col min="9479" max="9479" width="14.140625" customWidth="1"/>
    <col min="9480" max="9480" width="11.5703125" customWidth="1"/>
    <col min="9482" max="9482" width="11.140625" bestFit="1" customWidth="1"/>
    <col min="9729" max="9729" width="5" customWidth="1"/>
    <col min="9730" max="9730" width="31" customWidth="1"/>
    <col min="9731" max="9731" width="36" customWidth="1"/>
    <col min="9732" max="9732" width="9.85546875" customWidth="1"/>
    <col min="9733" max="9733" width="13.5703125" customWidth="1"/>
    <col min="9734" max="9734" width="12.5703125" customWidth="1"/>
    <col min="9735" max="9735" width="14.140625" customWidth="1"/>
    <col min="9736" max="9736" width="11.5703125" customWidth="1"/>
    <col min="9738" max="9738" width="11.140625" bestFit="1" customWidth="1"/>
    <col min="9985" max="9985" width="5" customWidth="1"/>
    <col min="9986" max="9986" width="31" customWidth="1"/>
    <col min="9987" max="9987" width="36" customWidth="1"/>
    <col min="9988" max="9988" width="9.85546875" customWidth="1"/>
    <col min="9989" max="9989" width="13.5703125" customWidth="1"/>
    <col min="9990" max="9990" width="12.5703125" customWidth="1"/>
    <col min="9991" max="9991" width="14.140625" customWidth="1"/>
    <col min="9992" max="9992" width="11.5703125" customWidth="1"/>
    <col min="9994" max="9994" width="11.140625" bestFit="1" customWidth="1"/>
    <col min="10241" max="10241" width="5" customWidth="1"/>
    <col min="10242" max="10242" width="31" customWidth="1"/>
    <col min="10243" max="10243" width="36" customWidth="1"/>
    <col min="10244" max="10244" width="9.85546875" customWidth="1"/>
    <col min="10245" max="10245" width="13.5703125" customWidth="1"/>
    <col min="10246" max="10246" width="12.5703125" customWidth="1"/>
    <col min="10247" max="10247" width="14.140625" customWidth="1"/>
    <col min="10248" max="10248" width="11.5703125" customWidth="1"/>
    <col min="10250" max="10250" width="11.140625" bestFit="1" customWidth="1"/>
    <col min="10497" max="10497" width="5" customWidth="1"/>
    <col min="10498" max="10498" width="31" customWidth="1"/>
    <col min="10499" max="10499" width="36" customWidth="1"/>
    <col min="10500" max="10500" width="9.85546875" customWidth="1"/>
    <col min="10501" max="10501" width="13.5703125" customWidth="1"/>
    <col min="10502" max="10502" width="12.5703125" customWidth="1"/>
    <col min="10503" max="10503" width="14.140625" customWidth="1"/>
    <col min="10504" max="10504" width="11.5703125" customWidth="1"/>
    <col min="10506" max="10506" width="11.140625" bestFit="1" customWidth="1"/>
    <col min="10753" max="10753" width="5" customWidth="1"/>
    <col min="10754" max="10754" width="31" customWidth="1"/>
    <col min="10755" max="10755" width="36" customWidth="1"/>
    <col min="10756" max="10756" width="9.85546875" customWidth="1"/>
    <col min="10757" max="10757" width="13.5703125" customWidth="1"/>
    <col min="10758" max="10758" width="12.5703125" customWidth="1"/>
    <col min="10759" max="10759" width="14.140625" customWidth="1"/>
    <col min="10760" max="10760" width="11.5703125" customWidth="1"/>
    <col min="10762" max="10762" width="11.140625" bestFit="1" customWidth="1"/>
    <col min="11009" max="11009" width="5" customWidth="1"/>
    <col min="11010" max="11010" width="31" customWidth="1"/>
    <col min="11011" max="11011" width="36" customWidth="1"/>
    <col min="11012" max="11012" width="9.85546875" customWidth="1"/>
    <col min="11013" max="11013" width="13.5703125" customWidth="1"/>
    <col min="11014" max="11014" width="12.5703125" customWidth="1"/>
    <col min="11015" max="11015" width="14.140625" customWidth="1"/>
    <col min="11016" max="11016" width="11.5703125" customWidth="1"/>
    <col min="11018" max="11018" width="11.140625" bestFit="1" customWidth="1"/>
    <col min="11265" max="11265" width="5" customWidth="1"/>
    <col min="11266" max="11266" width="31" customWidth="1"/>
    <col min="11267" max="11267" width="36" customWidth="1"/>
    <col min="11268" max="11268" width="9.85546875" customWidth="1"/>
    <col min="11269" max="11269" width="13.5703125" customWidth="1"/>
    <col min="11270" max="11270" width="12.5703125" customWidth="1"/>
    <col min="11271" max="11271" width="14.140625" customWidth="1"/>
    <col min="11272" max="11272" width="11.5703125" customWidth="1"/>
    <col min="11274" max="11274" width="11.140625" bestFit="1" customWidth="1"/>
    <col min="11521" max="11521" width="5" customWidth="1"/>
    <col min="11522" max="11522" width="31" customWidth="1"/>
    <col min="11523" max="11523" width="36" customWidth="1"/>
    <col min="11524" max="11524" width="9.85546875" customWidth="1"/>
    <col min="11525" max="11525" width="13.5703125" customWidth="1"/>
    <col min="11526" max="11526" width="12.5703125" customWidth="1"/>
    <col min="11527" max="11527" width="14.140625" customWidth="1"/>
    <col min="11528" max="11528" width="11.5703125" customWidth="1"/>
    <col min="11530" max="11530" width="11.140625" bestFit="1" customWidth="1"/>
    <col min="11777" max="11777" width="5" customWidth="1"/>
    <col min="11778" max="11778" width="31" customWidth="1"/>
    <col min="11779" max="11779" width="36" customWidth="1"/>
    <col min="11780" max="11780" width="9.85546875" customWidth="1"/>
    <col min="11781" max="11781" width="13.5703125" customWidth="1"/>
    <col min="11782" max="11782" width="12.5703125" customWidth="1"/>
    <col min="11783" max="11783" width="14.140625" customWidth="1"/>
    <col min="11784" max="11784" width="11.5703125" customWidth="1"/>
    <col min="11786" max="11786" width="11.140625" bestFit="1" customWidth="1"/>
    <col min="12033" max="12033" width="5" customWidth="1"/>
    <col min="12034" max="12034" width="31" customWidth="1"/>
    <col min="12035" max="12035" width="36" customWidth="1"/>
    <col min="12036" max="12036" width="9.85546875" customWidth="1"/>
    <col min="12037" max="12037" width="13.5703125" customWidth="1"/>
    <col min="12038" max="12038" width="12.5703125" customWidth="1"/>
    <col min="12039" max="12039" width="14.140625" customWidth="1"/>
    <col min="12040" max="12040" width="11.5703125" customWidth="1"/>
    <col min="12042" max="12042" width="11.140625" bestFit="1" customWidth="1"/>
    <col min="12289" max="12289" width="5" customWidth="1"/>
    <col min="12290" max="12290" width="31" customWidth="1"/>
    <col min="12291" max="12291" width="36" customWidth="1"/>
    <col min="12292" max="12292" width="9.85546875" customWidth="1"/>
    <col min="12293" max="12293" width="13.5703125" customWidth="1"/>
    <col min="12294" max="12294" width="12.5703125" customWidth="1"/>
    <col min="12295" max="12295" width="14.140625" customWidth="1"/>
    <col min="12296" max="12296" width="11.5703125" customWidth="1"/>
    <col min="12298" max="12298" width="11.140625" bestFit="1" customWidth="1"/>
    <col min="12545" max="12545" width="5" customWidth="1"/>
    <col min="12546" max="12546" width="31" customWidth="1"/>
    <col min="12547" max="12547" width="36" customWidth="1"/>
    <col min="12548" max="12548" width="9.85546875" customWidth="1"/>
    <col min="12549" max="12549" width="13.5703125" customWidth="1"/>
    <col min="12550" max="12550" width="12.5703125" customWidth="1"/>
    <col min="12551" max="12551" width="14.140625" customWidth="1"/>
    <col min="12552" max="12552" width="11.5703125" customWidth="1"/>
    <col min="12554" max="12554" width="11.140625" bestFit="1" customWidth="1"/>
    <col min="12801" max="12801" width="5" customWidth="1"/>
    <col min="12802" max="12802" width="31" customWidth="1"/>
    <col min="12803" max="12803" width="36" customWidth="1"/>
    <col min="12804" max="12804" width="9.85546875" customWidth="1"/>
    <col min="12805" max="12805" width="13.5703125" customWidth="1"/>
    <col min="12806" max="12806" width="12.5703125" customWidth="1"/>
    <col min="12807" max="12807" width="14.140625" customWidth="1"/>
    <col min="12808" max="12808" width="11.5703125" customWidth="1"/>
    <col min="12810" max="12810" width="11.140625" bestFit="1" customWidth="1"/>
    <col min="13057" max="13057" width="5" customWidth="1"/>
    <col min="13058" max="13058" width="31" customWidth="1"/>
    <col min="13059" max="13059" width="36" customWidth="1"/>
    <col min="13060" max="13060" width="9.85546875" customWidth="1"/>
    <col min="13061" max="13061" width="13.5703125" customWidth="1"/>
    <col min="13062" max="13062" width="12.5703125" customWidth="1"/>
    <col min="13063" max="13063" width="14.140625" customWidth="1"/>
    <col min="13064" max="13064" width="11.5703125" customWidth="1"/>
    <col min="13066" max="13066" width="11.140625" bestFit="1" customWidth="1"/>
    <col min="13313" max="13313" width="5" customWidth="1"/>
    <col min="13314" max="13314" width="31" customWidth="1"/>
    <col min="13315" max="13315" width="36" customWidth="1"/>
    <col min="13316" max="13316" width="9.85546875" customWidth="1"/>
    <col min="13317" max="13317" width="13.5703125" customWidth="1"/>
    <col min="13318" max="13318" width="12.5703125" customWidth="1"/>
    <col min="13319" max="13319" width="14.140625" customWidth="1"/>
    <col min="13320" max="13320" width="11.5703125" customWidth="1"/>
    <col min="13322" max="13322" width="11.140625" bestFit="1" customWidth="1"/>
    <col min="13569" max="13569" width="5" customWidth="1"/>
    <col min="13570" max="13570" width="31" customWidth="1"/>
    <col min="13571" max="13571" width="36" customWidth="1"/>
    <col min="13572" max="13572" width="9.85546875" customWidth="1"/>
    <col min="13573" max="13573" width="13.5703125" customWidth="1"/>
    <col min="13574" max="13574" width="12.5703125" customWidth="1"/>
    <col min="13575" max="13575" width="14.140625" customWidth="1"/>
    <col min="13576" max="13576" width="11.5703125" customWidth="1"/>
    <col min="13578" max="13578" width="11.140625" bestFit="1" customWidth="1"/>
    <col min="13825" max="13825" width="5" customWidth="1"/>
    <col min="13826" max="13826" width="31" customWidth="1"/>
    <col min="13827" max="13827" width="36" customWidth="1"/>
    <col min="13828" max="13828" width="9.85546875" customWidth="1"/>
    <col min="13829" max="13829" width="13.5703125" customWidth="1"/>
    <col min="13830" max="13830" width="12.5703125" customWidth="1"/>
    <col min="13831" max="13831" width="14.140625" customWidth="1"/>
    <col min="13832" max="13832" width="11.5703125" customWidth="1"/>
    <col min="13834" max="13834" width="11.140625" bestFit="1" customWidth="1"/>
    <col min="14081" max="14081" width="5" customWidth="1"/>
    <col min="14082" max="14082" width="31" customWidth="1"/>
    <col min="14083" max="14083" width="36" customWidth="1"/>
    <col min="14084" max="14084" width="9.85546875" customWidth="1"/>
    <col min="14085" max="14085" width="13.5703125" customWidth="1"/>
    <col min="14086" max="14086" width="12.5703125" customWidth="1"/>
    <col min="14087" max="14087" width="14.140625" customWidth="1"/>
    <col min="14088" max="14088" width="11.5703125" customWidth="1"/>
    <col min="14090" max="14090" width="11.140625" bestFit="1" customWidth="1"/>
    <col min="14337" max="14337" width="5" customWidth="1"/>
    <col min="14338" max="14338" width="31" customWidth="1"/>
    <col min="14339" max="14339" width="36" customWidth="1"/>
    <col min="14340" max="14340" width="9.85546875" customWidth="1"/>
    <col min="14341" max="14341" width="13.5703125" customWidth="1"/>
    <col min="14342" max="14342" width="12.5703125" customWidth="1"/>
    <col min="14343" max="14343" width="14.140625" customWidth="1"/>
    <col min="14344" max="14344" width="11.5703125" customWidth="1"/>
    <col min="14346" max="14346" width="11.140625" bestFit="1" customWidth="1"/>
    <col min="14593" max="14593" width="5" customWidth="1"/>
    <col min="14594" max="14594" width="31" customWidth="1"/>
    <col min="14595" max="14595" width="36" customWidth="1"/>
    <col min="14596" max="14596" width="9.85546875" customWidth="1"/>
    <col min="14597" max="14597" width="13.5703125" customWidth="1"/>
    <col min="14598" max="14598" width="12.5703125" customWidth="1"/>
    <col min="14599" max="14599" width="14.140625" customWidth="1"/>
    <col min="14600" max="14600" width="11.5703125" customWidth="1"/>
    <col min="14602" max="14602" width="11.140625" bestFit="1" customWidth="1"/>
    <col min="14849" max="14849" width="5" customWidth="1"/>
    <col min="14850" max="14850" width="31" customWidth="1"/>
    <col min="14851" max="14851" width="36" customWidth="1"/>
    <col min="14852" max="14852" width="9.85546875" customWidth="1"/>
    <col min="14853" max="14853" width="13.5703125" customWidth="1"/>
    <col min="14854" max="14854" width="12.5703125" customWidth="1"/>
    <col min="14855" max="14855" width="14.140625" customWidth="1"/>
    <col min="14856" max="14856" width="11.5703125" customWidth="1"/>
    <col min="14858" max="14858" width="11.140625" bestFit="1" customWidth="1"/>
    <col min="15105" max="15105" width="5" customWidth="1"/>
    <col min="15106" max="15106" width="31" customWidth="1"/>
    <col min="15107" max="15107" width="36" customWidth="1"/>
    <col min="15108" max="15108" width="9.85546875" customWidth="1"/>
    <col min="15109" max="15109" width="13.5703125" customWidth="1"/>
    <col min="15110" max="15110" width="12.5703125" customWidth="1"/>
    <col min="15111" max="15111" width="14.140625" customWidth="1"/>
    <col min="15112" max="15112" width="11.5703125" customWidth="1"/>
    <col min="15114" max="15114" width="11.140625" bestFit="1" customWidth="1"/>
    <col min="15361" max="15361" width="5" customWidth="1"/>
    <col min="15362" max="15362" width="31" customWidth="1"/>
    <col min="15363" max="15363" width="36" customWidth="1"/>
    <col min="15364" max="15364" width="9.85546875" customWidth="1"/>
    <col min="15365" max="15365" width="13.5703125" customWidth="1"/>
    <col min="15366" max="15366" width="12.5703125" customWidth="1"/>
    <col min="15367" max="15367" width="14.140625" customWidth="1"/>
    <col min="15368" max="15368" width="11.5703125" customWidth="1"/>
    <col min="15370" max="15370" width="11.140625" bestFit="1" customWidth="1"/>
    <col min="15617" max="15617" width="5" customWidth="1"/>
    <col min="15618" max="15618" width="31" customWidth="1"/>
    <col min="15619" max="15619" width="36" customWidth="1"/>
    <col min="15620" max="15620" width="9.85546875" customWidth="1"/>
    <col min="15621" max="15621" width="13.5703125" customWidth="1"/>
    <col min="15622" max="15622" width="12.5703125" customWidth="1"/>
    <col min="15623" max="15623" width="14.140625" customWidth="1"/>
    <col min="15624" max="15624" width="11.5703125" customWidth="1"/>
    <col min="15626" max="15626" width="11.140625" bestFit="1" customWidth="1"/>
    <col min="15873" max="15873" width="5" customWidth="1"/>
    <col min="15874" max="15874" width="31" customWidth="1"/>
    <col min="15875" max="15875" width="36" customWidth="1"/>
    <col min="15876" max="15876" width="9.85546875" customWidth="1"/>
    <col min="15877" max="15877" width="13.5703125" customWidth="1"/>
    <col min="15878" max="15878" width="12.5703125" customWidth="1"/>
    <col min="15879" max="15879" width="14.140625" customWidth="1"/>
    <col min="15880" max="15880" width="11.5703125" customWidth="1"/>
    <col min="15882" max="15882" width="11.140625" bestFit="1" customWidth="1"/>
    <col min="16129" max="16129" width="5" customWidth="1"/>
    <col min="16130" max="16130" width="31" customWidth="1"/>
    <col min="16131" max="16131" width="36" customWidth="1"/>
    <col min="16132" max="16132" width="9.85546875" customWidth="1"/>
    <col min="16133" max="16133" width="13.5703125" customWidth="1"/>
    <col min="16134" max="16134" width="12.5703125" customWidth="1"/>
    <col min="16135" max="16135" width="14.140625" customWidth="1"/>
    <col min="16136" max="16136" width="11.5703125" customWidth="1"/>
    <col min="16138" max="16138" width="11.140625" bestFit="1" customWidth="1"/>
  </cols>
  <sheetData>
    <row r="1" spans="1:40" ht="15.75" x14ac:dyDescent="0.25">
      <c r="A1" s="2066" t="str">
        <f>'48N'!A1</f>
        <v>UBND PHƯỜNG ĐỨC XUÂN</v>
      </c>
      <c r="B1" s="2066"/>
      <c r="C1" s="2066"/>
      <c r="D1" s="175"/>
      <c r="E1" s="176"/>
      <c r="F1" s="176"/>
      <c r="G1" s="176"/>
      <c r="H1" s="177"/>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row>
    <row r="2" spans="1:40" s="180" customFormat="1" ht="18" customHeight="1" x14ac:dyDescent="0.25">
      <c r="A2" s="2069" t="s">
        <v>393</v>
      </c>
      <c r="B2" s="2069"/>
      <c r="C2" s="2069"/>
      <c r="D2" s="2069"/>
      <c r="E2" s="2069"/>
      <c r="F2" s="2069"/>
      <c r="G2" s="2069"/>
      <c r="H2" s="206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40" s="180" customFormat="1" ht="16.5" x14ac:dyDescent="0.25">
      <c r="A3" s="2070" t="str">
        <f>'70'!A3:C3</f>
        <v>(Kèm theo Tờ trình số    /TTr-KTHT&amp;ĐT ngày      /4/2026 của phòng KTHT&amp;ĐT phường Đức Xuân)</v>
      </c>
      <c r="B3" s="2071"/>
      <c r="C3" s="2071"/>
      <c r="D3" s="2071"/>
      <c r="E3" s="2071"/>
      <c r="F3" s="2071"/>
      <c r="G3" s="2071"/>
      <c r="H3" s="2071"/>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row>
    <row r="4" spans="1:40" s="180" customFormat="1" ht="15.75" x14ac:dyDescent="0.25">
      <c r="A4" s="181"/>
      <c r="B4" s="277"/>
      <c r="C4" s="181"/>
      <c r="D4" s="181"/>
      <c r="E4" s="181"/>
      <c r="F4" s="181"/>
      <c r="G4" s="2067" t="s">
        <v>323</v>
      </c>
      <c r="H4" s="2067"/>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row>
    <row r="5" spans="1:40" s="183" customFormat="1" ht="57" customHeight="1" x14ac:dyDescent="0.25">
      <c r="A5" s="182" t="s">
        <v>1</v>
      </c>
      <c r="B5" s="182" t="s">
        <v>48</v>
      </c>
      <c r="C5" s="182" t="s">
        <v>2</v>
      </c>
      <c r="D5" s="182" t="s">
        <v>358</v>
      </c>
      <c r="E5" s="182" t="s">
        <v>360</v>
      </c>
      <c r="F5" s="182" t="s">
        <v>376</v>
      </c>
      <c r="G5" s="182" t="s">
        <v>377</v>
      </c>
      <c r="H5" s="182" t="s">
        <v>375</v>
      </c>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c r="AK5" s="178"/>
      <c r="AL5" s="178"/>
      <c r="AM5" s="178"/>
      <c r="AN5" s="178"/>
    </row>
    <row r="6" spans="1:40" s="183" customFormat="1" ht="24.75" customHeight="1" x14ac:dyDescent="0.25">
      <c r="A6" s="312" t="s">
        <v>4</v>
      </c>
      <c r="B6" s="312" t="s">
        <v>5</v>
      </c>
      <c r="C6" s="312" t="s">
        <v>42</v>
      </c>
      <c r="D6" s="312" t="s">
        <v>64</v>
      </c>
      <c r="E6" s="312">
        <v>1</v>
      </c>
      <c r="F6" s="312">
        <v>2</v>
      </c>
      <c r="G6" s="312">
        <v>3</v>
      </c>
      <c r="H6" s="312" t="s">
        <v>367</v>
      </c>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row>
    <row r="7" spans="1:40" s="183" customFormat="1" ht="33" customHeight="1" x14ac:dyDescent="0.25">
      <c r="A7" s="182"/>
      <c r="B7" s="2072" t="s">
        <v>317</v>
      </c>
      <c r="C7" s="2073"/>
      <c r="D7" s="182"/>
      <c r="E7" s="317">
        <f>E8+E9</f>
        <v>170.5</v>
      </c>
      <c r="F7" s="317">
        <f>F8+F9</f>
        <v>0</v>
      </c>
      <c r="G7" s="317">
        <f>G8+G9</f>
        <v>170.5</v>
      </c>
      <c r="H7" s="317">
        <f>H8+H9</f>
        <v>0</v>
      </c>
      <c r="I7" s="178"/>
      <c r="J7" s="184"/>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178"/>
      <c r="AN7" s="178"/>
    </row>
    <row r="8" spans="1:40" s="183" customFormat="1" ht="30" x14ac:dyDescent="0.25">
      <c r="A8" s="351">
        <v>1</v>
      </c>
      <c r="B8" s="352" t="s">
        <v>324</v>
      </c>
      <c r="C8" s="313" t="s">
        <v>325</v>
      </c>
      <c r="D8" s="314">
        <v>2012</v>
      </c>
      <c r="E8" s="315">
        <v>20.5</v>
      </c>
      <c r="F8" s="315"/>
      <c r="G8" s="315">
        <v>20.5</v>
      </c>
      <c r="H8" s="316">
        <f>E8+F8-G8</f>
        <v>0</v>
      </c>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row>
    <row r="9" spans="1:40" s="183" customFormat="1" ht="28.5" customHeight="1" x14ac:dyDescent="0.25">
      <c r="A9" s="185">
        <v>2</v>
      </c>
      <c r="B9" s="186" t="s">
        <v>326</v>
      </c>
      <c r="C9" s="186" t="s">
        <v>346</v>
      </c>
      <c r="D9" s="185">
        <v>2014</v>
      </c>
      <c r="E9" s="187">
        <v>150</v>
      </c>
      <c r="F9" s="187"/>
      <c r="G9" s="187">
        <v>150</v>
      </c>
      <c r="H9" s="188">
        <f>E9+F9-G9</f>
        <v>0</v>
      </c>
      <c r="I9" s="178"/>
      <c r="J9" s="178"/>
      <c r="K9" s="178"/>
      <c r="L9" s="178"/>
      <c r="M9" s="178"/>
      <c r="N9" s="178"/>
      <c r="O9" s="178"/>
      <c r="P9" s="178"/>
      <c r="Q9" s="178"/>
      <c r="R9" s="178"/>
      <c r="S9" s="178"/>
      <c r="T9" s="178"/>
      <c r="U9" s="178"/>
      <c r="V9" s="178"/>
      <c r="W9" s="178"/>
      <c r="X9" s="178"/>
      <c r="Y9" s="178"/>
      <c r="Z9" s="178"/>
      <c r="AA9" s="178"/>
      <c r="AB9" s="178"/>
      <c r="AC9" s="178"/>
      <c r="AD9" s="178"/>
      <c r="AE9" s="178"/>
      <c r="AF9" s="178"/>
      <c r="AG9" s="178"/>
      <c r="AH9" s="178"/>
      <c r="AI9" s="178"/>
      <c r="AJ9" s="178"/>
      <c r="AK9" s="178"/>
      <c r="AL9" s="178"/>
      <c r="AM9" s="178"/>
      <c r="AN9" s="178"/>
    </row>
    <row r="10" spans="1:40" ht="31.5" customHeight="1" x14ac:dyDescent="0.25">
      <c r="A10" s="2068" t="s">
        <v>349</v>
      </c>
      <c r="B10" s="2068"/>
      <c r="C10" s="2068"/>
      <c r="D10" s="2068"/>
      <c r="E10" s="2068"/>
      <c r="F10" s="2068"/>
      <c r="G10" s="2068"/>
      <c r="H10" s="206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row>
    <row r="11" spans="1:40" x14ac:dyDescent="0.25">
      <c r="A11" s="178"/>
      <c r="B11" s="278"/>
      <c r="C11" s="178"/>
      <c r="D11" s="189"/>
      <c r="E11" s="178"/>
      <c r="F11" s="178"/>
      <c r="G11" s="178"/>
      <c r="H11" s="178"/>
      <c r="I11" s="178"/>
      <c r="J11" s="178"/>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8"/>
      <c r="AI11" s="178"/>
      <c r="AJ11" s="178"/>
      <c r="AK11" s="178"/>
      <c r="AL11" s="178"/>
      <c r="AM11" s="178"/>
      <c r="AN11" s="178"/>
    </row>
  </sheetData>
  <mergeCells count="6">
    <mergeCell ref="A1:C1"/>
    <mergeCell ref="G4:H4"/>
    <mergeCell ref="A10:H10"/>
    <mergeCell ref="A2:H2"/>
    <mergeCell ref="A3:H3"/>
    <mergeCell ref="B7:C7"/>
  </mergeCells>
  <printOptions horizontalCentered="1"/>
  <pageMargins left="0.43307086614173229" right="0.6692913385826772" top="0.55118110236220474" bottom="0.55118110236220474" header="0.31496062992125984" footer="0.31496062992125984"/>
  <pageSetup paperSize="9" firstPageNumber="88" orientation="landscape" useFirstPageNumber="1" r:id="rId1"/>
  <headerFooter>
    <oddHeader>&amp;RBiểu số 5. 32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zoomScaleNormal="100" zoomScaleSheetLayoutView="100" workbookViewId="0">
      <selection activeCell="I27" sqref="I27"/>
    </sheetView>
  </sheetViews>
  <sheetFormatPr defaultRowHeight="15" x14ac:dyDescent="0.25"/>
  <cols>
    <col min="1" max="1" width="6.28515625" customWidth="1"/>
    <col min="2" max="2" width="54.5703125" customWidth="1"/>
    <col min="3" max="3" width="14.7109375" style="355" customWidth="1"/>
    <col min="4" max="4" width="14.42578125" customWidth="1"/>
    <col min="5" max="5" width="13.28515625" customWidth="1"/>
    <col min="6" max="6" width="10" style="106" customWidth="1"/>
    <col min="9" max="9" width="14.28515625" bestFit="1" customWidth="1"/>
  </cols>
  <sheetData>
    <row r="1" spans="1:6" ht="15.75" customHeight="1" x14ac:dyDescent="0.25">
      <c r="A1" s="20" t="str">
        <f>'48N'!A1</f>
        <v>UBND PHƯỜNG ĐỨC XUÂN</v>
      </c>
      <c r="E1" s="1770" t="s">
        <v>544</v>
      </c>
      <c r="F1" s="1770"/>
    </row>
    <row r="2" spans="1:6" ht="11.25" customHeight="1" x14ac:dyDescent="0.25">
      <c r="A2" s="20"/>
      <c r="F2" s="281"/>
    </row>
    <row r="3" spans="1:6" ht="15.75" x14ac:dyDescent="0.25">
      <c r="A3" s="1775" t="s">
        <v>535</v>
      </c>
      <c r="B3" s="1775"/>
      <c r="C3" s="1775"/>
      <c r="D3" s="1775"/>
      <c r="E3" s="1775"/>
      <c r="F3" s="1775"/>
    </row>
    <row r="4" spans="1:6" s="86" customFormat="1" ht="19.899999999999999" customHeight="1" x14ac:dyDescent="0.25">
      <c r="A4" s="1769" t="str">
        <f>'48N'!A4:F4</f>
        <v>(Kèm theo Tờ trình số    /TTr-KTHT&amp;ĐT ngày      /4/2026 của phòng KTHT&amp;ĐT phường Đức Xuân)</v>
      </c>
      <c r="B4" s="1769"/>
      <c r="C4" s="1769"/>
      <c r="D4" s="1769"/>
      <c r="E4" s="1769"/>
      <c r="F4" s="1769"/>
    </row>
    <row r="5" spans="1:6" ht="15" customHeight="1" x14ac:dyDescent="0.25">
      <c r="D5" s="1778" t="s">
        <v>427</v>
      </c>
      <c r="E5" s="1778"/>
      <c r="F5" s="1778"/>
    </row>
    <row r="6" spans="1:6" s="1" customFormat="1" x14ac:dyDescent="0.25">
      <c r="A6" s="1776" t="s">
        <v>1</v>
      </c>
      <c r="B6" s="1776" t="s">
        <v>2</v>
      </c>
      <c r="C6" s="1777" t="s">
        <v>339</v>
      </c>
      <c r="D6" s="1776" t="s">
        <v>169</v>
      </c>
      <c r="E6" s="1776" t="s">
        <v>170</v>
      </c>
      <c r="F6" s="1776"/>
    </row>
    <row r="7" spans="1:6" s="1" customFormat="1" ht="28.5" x14ac:dyDescent="0.25">
      <c r="A7" s="1776"/>
      <c r="B7" s="1776"/>
      <c r="C7" s="1777"/>
      <c r="D7" s="1776"/>
      <c r="E7" s="30" t="s">
        <v>171</v>
      </c>
      <c r="F7" s="280" t="s">
        <v>172</v>
      </c>
    </row>
    <row r="8" spans="1:6" s="1" customFormat="1" x14ac:dyDescent="0.25">
      <c r="A8" s="30" t="s">
        <v>4</v>
      </c>
      <c r="B8" s="30" t="s">
        <v>5</v>
      </c>
      <c r="C8" s="936">
        <v>1</v>
      </c>
      <c r="D8" s="30">
        <v>2</v>
      </c>
      <c r="E8" s="30" t="s">
        <v>167</v>
      </c>
      <c r="F8" s="280" t="s">
        <v>173</v>
      </c>
    </row>
    <row r="9" spans="1:6" s="47" customFormat="1" ht="24.75" customHeight="1" x14ac:dyDescent="0.2">
      <c r="A9" s="61"/>
      <c r="B9" s="54" t="s">
        <v>76</v>
      </c>
      <c r="C9" s="1030">
        <f>SUM(C10,C11,C44)</f>
        <v>131541000</v>
      </c>
      <c r="D9" s="943">
        <f>SUM(D10,D11,D44)</f>
        <v>178645584.73699999</v>
      </c>
      <c r="E9" s="943">
        <f>D9-C9</f>
        <v>47104584.736999989</v>
      </c>
      <c r="F9" s="944">
        <f>D9/C9</f>
        <v>1.3580981194988633</v>
      </c>
    </row>
    <row r="10" spans="1:6" s="284" customFormat="1" ht="24.75" customHeight="1" x14ac:dyDescent="0.2">
      <c r="A10" s="390" t="s">
        <v>4</v>
      </c>
      <c r="B10" s="391" t="s">
        <v>267</v>
      </c>
      <c r="C10" s="1031"/>
      <c r="D10" s="945"/>
      <c r="E10" s="945"/>
      <c r="F10" s="946"/>
    </row>
    <row r="11" spans="1:6" s="47" customFormat="1" ht="24.75" customHeight="1" x14ac:dyDescent="0.2">
      <c r="A11" s="61" t="s">
        <v>5</v>
      </c>
      <c r="B11" s="149" t="s">
        <v>263</v>
      </c>
      <c r="C11" s="1030">
        <f>SUM(C12,C29,C40,C41,C42,C43)</f>
        <v>131541000</v>
      </c>
      <c r="D11" s="354">
        <f>SUM(D12,D29,D40,D41,D42,D43)</f>
        <v>154458373.01199999</v>
      </c>
      <c r="E11" s="354">
        <f>SUM(E12,E29,E40,E41,E42,E43)</f>
        <v>26613373.012000006</v>
      </c>
      <c r="F11" s="944">
        <f>D11/C11</f>
        <v>1.174222280596924</v>
      </c>
    </row>
    <row r="12" spans="1:6" s="41" customFormat="1" ht="24.75" customHeight="1" x14ac:dyDescent="0.2">
      <c r="A12" s="50" t="s">
        <v>6</v>
      </c>
      <c r="B12" s="140" t="s">
        <v>26</v>
      </c>
      <c r="C12" s="1030">
        <f>SUM(C13,C27,C28)</f>
        <v>12468000</v>
      </c>
      <c r="D12" s="943">
        <f>SUM(D13,D27,D28)</f>
        <v>16392012.588</v>
      </c>
      <c r="E12" s="943">
        <f t="shared" ref="E12:E44" si="0">D12-C12</f>
        <v>3924012.5879999995</v>
      </c>
      <c r="F12" s="1676">
        <f>D12/C12</f>
        <v>1.3147267074109721</v>
      </c>
    </row>
    <row r="13" spans="1:6" s="1" customFormat="1" ht="24.75" customHeight="1" x14ac:dyDescent="0.25">
      <c r="A13" s="51">
        <v>1</v>
      </c>
      <c r="B13" s="147" t="s">
        <v>78</v>
      </c>
      <c r="C13" s="1032">
        <f>'61'!C29</f>
        <v>12468000</v>
      </c>
      <c r="D13" s="947">
        <f>SUM(D14:D26)</f>
        <v>14910012.588</v>
      </c>
      <c r="E13" s="947">
        <f t="shared" si="0"/>
        <v>2442012.5879999995</v>
      </c>
      <c r="F13" s="948">
        <f>D13/C13</f>
        <v>1.1958624148219441</v>
      </c>
    </row>
    <row r="14" spans="1:6" s="1" customFormat="1" ht="24.75" customHeight="1" x14ac:dyDescent="0.25">
      <c r="A14" s="26" t="s">
        <v>25</v>
      </c>
      <c r="B14" s="145" t="s">
        <v>35</v>
      </c>
      <c r="C14" s="1033"/>
      <c r="D14" s="949">
        <f>'55N'!E9</f>
        <v>11740943.977</v>
      </c>
      <c r="E14" s="949">
        <f t="shared" si="0"/>
        <v>11740943.977</v>
      </c>
      <c r="F14" s="948"/>
    </row>
    <row r="15" spans="1:6" s="1" customFormat="1" ht="20.25" hidden="1" customHeight="1" x14ac:dyDescent="0.25">
      <c r="A15" s="26" t="s">
        <v>25</v>
      </c>
      <c r="B15" s="145" t="s">
        <v>67</v>
      </c>
      <c r="C15" s="1033"/>
      <c r="D15" s="949"/>
      <c r="E15" s="949"/>
      <c r="F15" s="950"/>
    </row>
    <row r="16" spans="1:6" s="1" customFormat="1" ht="20.25" hidden="1" customHeight="1" x14ac:dyDescent="0.25">
      <c r="A16" s="26" t="s">
        <v>25</v>
      </c>
      <c r="B16" s="145" t="s">
        <v>68</v>
      </c>
      <c r="C16" s="1033"/>
      <c r="D16" s="949"/>
      <c r="E16" s="949"/>
      <c r="F16" s="950"/>
    </row>
    <row r="17" spans="1:9" s="1" customFormat="1" ht="20.25" hidden="1" customHeight="1" x14ac:dyDescent="0.25">
      <c r="A17" s="26" t="s">
        <v>25</v>
      </c>
      <c r="B17" s="145" t="s">
        <v>79</v>
      </c>
      <c r="C17" s="1033"/>
      <c r="D17" s="949"/>
      <c r="E17" s="949"/>
      <c r="F17" s="950"/>
    </row>
    <row r="18" spans="1:9" s="1" customFormat="1" ht="20.25" hidden="1" customHeight="1" x14ac:dyDescent="0.25">
      <c r="A18" s="26" t="s">
        <v>25</v>
      </c>
      <c r="B18" s="145" t="s">
        <v>69</v>
      </c>
      <c r="C18" s="1033"/>
      <c r="D18" s="949"/>
      <c r="E18" s="949"/>
      <c r="F18" s="950"/>
    </row>
    <row r="19" spans="1:9" s="1" customFormat="1" ht="20.25" hidden="1" customHeight="1" x14ac:dyDescent="0.25">
      <c r="A19" s="26" t="s">
        <v>25</v>
      </c>
      <c r="B19" s="145" t="s">
        <v>70</v>
      </c>
      <c r="C19" s="1033"/>
      <c r="D19" s="949"/>
      <c r="E19" s="949"/>
      <c r="F19" s="950"/>
    </row>
    <row r="20" spans="1:9" s="1" customFormat="1" ht="20.25" hidden="1" customHeight="1" x14ac:dyDescent="0.25">
      <c r="A20" s="26" t="s">
        <v>25</v>
      </c>
      <c r="B20" s="145" t="s">
        <v>201</v>
      </c>
      <c r="C20" s="1033"/>
      <c r="D20" s="949"/>
      <c r="E20" s="949"/>
      <c r="F20" s="950"/>
    </row>
    <row r="21" spans="1:9" s="1" customFormat="1" ht="20.25" hidden="1" customHeight="1" x14ac:dyDescent="0.25">
      <c r="A21" s="26" t="s">
        <v>25</v>
      </c>
      <c r="B21" s="145" t="s">
        <v>80</v>
      </c>
      <c r="C21" s="1033"/>
      <c r="D21" s="949"/>
      <c r="E21" s="949"/>
      <c r="F21" s="950"/>
    </row>
    <row r="22" spans="1:9" s="1" customFormat="1" ht="20.25" hidden="1" customHeight="1" x14ac:dyDescent="0.25">
      <c r="A22" s="26" t="s">
        <v>25</v>
      </c>
      <c r="B22" s="145" t="s">
        <v>71</v>
      </c>
      <c r="C22" s="1033"/>
      <c r="D22" s="949"/>
      <c r="E22" s="949"/>
      <c r="F22" s="950"/>
    </row>
    <row r="23" spans="1:9" s="1" customFormat="1" ht="20.25" customHeight="1" x14ac:dyDescent="0.25">
      <c r="A23" s="26" t="s">
        <v>25</v>
      </c>
      <c r="B23" s="145" t="s">
        <v>81</v>
      </c>
      <c r="C23" s="1033"/>
      <c r="D23" s="951">
        <f>'55N'!M10</f>
        <v>3169068.611</v>
      </c>
      <c r="E23" s="949">
        <f t="shared" si="0"/>
        <v>3169068.611</v>
      </c>
      <c r="F23" s="950"/>
    </row>
    <row r="24" spans="1:9" s="1" customFormat="1" ht="20.25" hidden="1" customHeight="1" x14ac:dyDescent="0.25">
      <c r="A24" s="26" t="s">
        <v>25</v>
      </c>
      <c r="B24" s="150" t="s">
        <v>202</v>
      </c>
      <c r="C24" s="1033"/>
      <c r="D24" s="951"/>
      <c r="E24" s="949"/>
      <c r="F24" s="950"/>
    </row>
    <row r="25" spans="1:9" s="1" customFormat="1" ht="20.25" hidden="1" customHeight="1" x14ac:dyDescent="0.25">
      <c r="A25" s="26" t="s">
        <v>25</v>
      </c>
      <c r="B25" s="145" t="s">
        <v>28</v>
      </c>
      <c r="C25" s="1033"/>
      <c r="D25" s="949"/>
      <c r="E25" s="949"/>
      <c r="F25" s="950"/>
    </row>
    <row r="26" spans="1:9" s="1" customFormat="1" ht="20.25" hidden="1" customHeight="1" x14ac:dyDescent="0.25">
      <c r="A26" s="26" t="s">
        <v>25</v>
      </c>
      <c r="B26" s="145" t="s">
        <v>203</v>
      </c>
      <c r="C26" s="1033"/>
      <c r="D26" s="949"/>
      <c r="E26" s="949"/>
      <c r="F26" s="950"/>
    </row>
    <row r="27" spans="1:9" s="9" customFormat="1" ht="45" customHeight="1" x14ac:dyDescent="0.2">
      <c r="A27" s="32">
        <v>2</v>
      </c>
      <c r="B27" s="150" t="s">
        <v>66</v>
      </c>
      <c r="C27" s="1033"/>
      <c r="D27" s="949"/>
      <c r="E27" s="949"/>
      <c r="F27" s="950"/>
    </row>
    <row r="28" spans="1:9" s="1" customFormat="1" ht="26.25" customHeight="1" x14ac:dyDescent="0.25">
      <c r="A28" s="56">
        <v>3</v>
      </c>
      <c r="B28" s="146" t="s">
        <v>27</v>
      </c>
      <c r="C28" s="1034"/>
      <c r="D28" s="952">
        <f>'55N'!M13</f>
        <v>1482000</v>
      </c>
      <c r="E28" s="949">
        <f t="shared" si="0"/>
        <v>1482000</v>
      </c>
      <c r="F28" s="953"/>
    </row>
    <row r="29" spans="1:9" s="41" customFormat="1" ht="26.25" customHeight="1" x14ac:dyDescent="0.2">
      <c r="A29" s="50" t="s">
        <v>12</v>
      </c>
      <c r="B29" s="140" t="s">
        <v>30</v>
      </c>
      <c r="C29" s="1030">
        <f>'61'!D36-C40-C41</f>
        <v>115377000</v>
      </c>
      <c r="D29" s="954">
        <f>SUM(D30:D39)</f>
        <v>137912348.914</v>
      </c>
      <c r="E29" s="943">
        <f t="shared" si="0"/>
        <v>22535348.914000005</v>
      </c>
      <c r="F29" s="944">
        <f>D29/C29</f>
        <v>1.1953192483250561</v>
      </c>
      <c r="I29" s="1596"/>
    </row>
    <row r="30" spans="1:9" s="1" customFormat="1" ht="26.25" customHeight="1" x14ac:dyDescent="0.25">
      <c r="A30" s="51" t="s">
        <v>25</v>
      </c>
      <c r="B30" s="147" t="s">
        <v>35</v>
      </c>
      <c r="C30" s="937">
        <v>68911319</v>
      </c>
      <c r="D30" s="955">
        <f>'61'!E39</f>
        <v>75608229.204999998</v>
      </c>
      <c r="E30" s="947">
        <f>D30-C30</f>
        <v>6696910.2049999982</v>
      </c>
      <c r="F30" s="948">
        <f>D30/C30</f>
        <v>1.0971815704906185</v>
      </c>
      <c r="I30" s="66"/>
    </row>
    <row r="31" spans="1:9" s="1" customFormat="1" ht="26.25" hidden="1" customHeight="1" x14ac:dyDescent="0.25">
      <c r="A31" s="26" t="s">
        <v>25</v>
      </c>
      <c r="B31" s="145" t="s">
        <v>69</v>
      </c>
      <c r="C31" s="938"/>
      <c r="D31" s="951"/>
      <c r="E31" s="949">
        <f t="shared" si="0"/>
        <v>0</v>
      </c>
      <c r="F31" s="950"/>
    </row>
    <row r="32" spans="1:9" s="1" customFormat="1" ht="26.25" customHeight="1" x14ac:dyDescent="0.25">
      <c r="A32" s="26" t="s">
        <v>25</v>
      </c>
      <c r="B32" s="145" t="s">
        <v>68</v>
      </c>
      <c r="C32" s="938">
        <v>1490579</v>
      </c>
      <c r="D32" s="951">
        <f>'61'!E37</f>
        <v>1477056.682</v>
      </c>
      <c r="E32" s="949">
        <f t="shared" si="0"/>
        <v>-13522.31799999997</v>
      </c>
      <c r="F32" s="948">
        <f t="shared" ref="F32:F39" si="1">D32/C32</f>
        <v>0.99092814402993734</v>
      </c>
    </row>
    <row r="33" spans="1:6" s="1" customFormat="1" ht="26.25" customHeight="1" x14ac:dyDescent="0.25">
      <c r="A33" s="26" t="s">
        <v>25</v>
      </c>
      <c r="B33" s="145" t="s">
        <v>79</v>
      </c>
      <c r="C33" s="938">
        <v>712980</v>
      </c>
      <c r="D33" s="951">
        <f>'61'!E38</f>
        <v>641445</v>
      </c>
      <c r="E33" s="949">
        <f t="shared" si="0"/>
        <v>-71535</v>
      </c>
      <c r="F33" s="948">
        <f t="shared" si="1"/>
        <v>0.89966759235883198</v>
      </c>
    </row>
    <row r="34" spans="1:6" s="1" customFormat="1" ht="26.25" customHeight="1" x14ac:dyDescent="0.25">
      <c r="A34" s="26" t="s">
        <v>25</v>
      </c>
      <c r="B34" s="145" t="s">
        <v>348</v>
      </c>
      <c r="C34" s="938">
        <v>996000</v>
      </c>
      <c r="D34" s="951">
        <f>'61'!E42+'61'!E43+'61'!E44</f>
        <v>1101019.99</v>
      </c>
      <c r="E34" s="949">
        <f>D34-C34</f>
        <v>105019.98999999999</v>
      </c>
      <c r="F34" s="948">
        <f t="shared" si="1"/>
        <v>1.1054417570281125</v>
      </c>
    </row>
    <row r="35" spans="1:6" s="1" customFormat="1" ht="26.25" hidden="1" customHeight="1" x14ac:dyDescent="0.25">
      <c r="A35" s="26" t="s">
        <v>25</v>
      </c>
      <c r="B35" s="145" t="s">
        <v>71</v>
      </c>
      <c r="C35" s="938"/>
      <c r="D35" s="951">
        <f>'61'!E45</f>
        <v>0</v>
      </c>
      <c r="E35" s="949">
        <f t="shared" si="0"/>
        <v>0</v>
      </c>
      <c r="F35" s="948" t="e">
        <f t="shared" si="1"/>
        <v>#DIV/0!</v>
      </c>
    </row>
    <row r="36" spans="1:6" s="1" customFormat="1" ht="26.25" customHeight="1" x14ac:dyDescent="0.25">
      <c r="A36" s="26" t="s">
        <v>25</v>
      </c>
      <c r="B36" s="145" t="s">
        <v>81</v>
      </c>
      <c r="C36" s="938">
        <v>381712</v>
      </c>
      <c r="D36" s="951">
        <f>'61'!E46</f>
        <v>2951918.4070000001</v>
      </c>
      <c r="E36" s="949">
        <f t="shared" si="0"/>
        <v>2570206.4070000001</v>
      </c>
      <c r="F36" s="948">
        <f t="shared" si="1"/>
        <v>7.7333654875927405</v>
      </c>
    </row>
    <row r="37" spans="1:6" s="1" customFormat="1" ht="26.25" customHeight="1" x14ac:dyDescent="0.25">
      <c r="A37" s="26" t="s">
        <v>25</v>
      </c>
      <c r="B37" s="150" t="s">
        <v>202</v>
      </c>
      <c r="C37" s="938">
        <v>28564140</v>
      </c>
      <c r="D37" s="951">
        <f>'61'!E47</f>
        <v>49353481.030000001</v>
      </c>
      <c r="E37" s="949">
        <f t="shared" si="0"/>
        <v>20789341.030000001</v>
      </c>
      <c r="F37" s="948">
        <f t="shared" si="1"/>
        <v>1.7278126010445265</v>
      </c>
    </row>
    <row r="38" spans="1:6" s="1" customFormat="1" ht="26.25" customHeight="1" x14ac:dyDescent="0.25">
      <c r="A38" s="26" t="s">
        <v>25</v>
      </c>
      <c r="B38" s="145" t="s">
        <v>28</v>
      </c>
      <c r="C38" s="938">
        <v>1938014</v>
      </c>
      <c r="D38" s="951">
        <f>'61'!E48</f>
        <v>6716588.5999999996</v>
      </c>
      <c r="E38" s="949">
        <f t="shared" si="0"/>
        <v>4778574.5999999996</v>
      </c>
      <c r="F38" s="948">
        <f t="shared" si="1"/>
        <v>3.4657069556773066</v>
      </c>
    </row>
    <row r="39" spans="1:6" s="1" customFormat="1" ht="26.25" customHeight="1" x14ac:dyDescent="0.25">
      <c r="A39" s="56" t="s">
        <v>25</v>
      </c>
      <c r="B39" s="146" t="s">
        <v>82</v>
      </c>
      <c r="C39" s="939">
        <v>12382256</v>
      </c>
      <c r="D39" s="956">
        <f>'61'!E49</f>
        <v>62610</v>
      </c>
      <c r="E39" s="952">
        <f t="shared" si="0"/>
        <v>-12319646</v>
      </c>
      <c r="F39" s="948">
        <f t="shared" si="1"/>
        <v>5.0564291353691927E-3</v>
      </c>
    </row>
    <row r="40" spans="1:6" s="41" customFormat="1" ht="26.25" customHeight="1" x14ac:dyDescent="0.2">
      <c r="A40" s="50" t="s">
        <v>19</v>
      </c>
      <c r="B40" s="140" t="s">
        <v>61</v>
      </c>
      <c r="C40" s="1030">
        <f>'61'!D51</f>
        <v>2974000</v>
      </c>
      <c r="D40" s="954"/>
      <c r="E40" s="943"/>
      <c r="F40" s="957"/>
    </row>
    <row r="41" spans="1:6" s="41" customFormat="1" ht="26.25" customHeight="1" x14ac:dyDescent="0.2">
      <c r="A41" s="50" t="s">
        <v>20</v>
      </c>
      <c r="B41" s="140" t="s">
        <v>180</v>
      </c>
      <c r="C41" s="1030">
        <f>'61'!D50</f>
        <v>722000</v>
      </c>
      <c r="D41" s="954"/>
      <c r="E41" s="943"/>
      <c r="F41" s="957"/>
    </row>
    <row r="42" spans="1:6" s="942" customFormat="1" ht="26.25" customHeight="1" x14ac:dyDescent="0.2">
      <c r="A42" s="940" t="s">
        <v>24</v>
      </c>
      <c r="B42" s="941" t="s">
        <v>256</v>
      </c>
      <c r="C42" s="354"/>
      <c r="D42" s="958">
        <f>'61'!E60</f>
        <v>104011.51</v>
      </c>
      <c r="E42" s="354">
        <f t="shared" si="0"/>
        <v>104011.51</v>
      </c>
      <c r="F42" s="959"/>
    </row>
    <row r="43" spans="1:6" s="942" customFormat="1" ht="26.25" customHeight="1" x14ac:dyDescent="0.2">
      <c r="A43" s="940" t="s">
        <v>46</v>
      </c>
      <c r="B43" s="941" t="s">
        <v>516</v>
      </c>
      <c r="C43" s="354"/>
      <c r="D43" s="958">
        <f>'61'!E54</f>
        <v>50000</v>
      </c>
      <c r="E43" s="354">
        <f t="shared" ref="E43" si="2">D43-C43</f>
        <v>50000</v>
      </c>
      <c r="F43" s="959"/>
    </row>
    <row r="44" spans="1:6" s="47" customFormat="1" ht="26.25" customHeight="1" x14ac:dyDescent="0.2">
      <c r="A44" s="61" t="s">
        <v>42</v>
      </c>
      <c r="B44" s="149" t="s">
        <v>200</v>
      </c>
      <c r="C44" s="354"/>
      <c r="D44" s="954">
        <f>'61'!E53</f>
        <v>24187211.725000001</v>
      </c>
      <c r="E44" s="943">
        <f t="shared" si="0"/>
        <v>24187211.725000001</v>
      </c>
      <c r="F44" s="957"/>
    </row>
    <row r="45" spans="1:6" s="1" customFormat="1" ht="6" customHeight="1" x14ac:dyDescent="0.25">
      <c r="C45" s="355"/>
      <c r="F45" s="275"/>
    </row>
  </sheetData>
  <mergeCells count="9">
    <mergeCell ref="E1:F1"/>
    <mergeCell ref="A3:F3"/>
    <mergeCell ref="A6:A7"/>
    <mergeCell ref="B6:B7"/>
    <mergeCell ref="C6:C7"/>
    <mergeCell ref="D6:D7"/>
    <mergeCell ref="E6:F6"/>
    <mergeCell ref="A4:F4"/>
    <mergeCell ref="D5:F5"/>
  </mergeCells>
  <printOptions horizontalCentered="1"/>
  <pageMargins left="0.33" right="0.35" top="0.59055118110236204" bottom="0.47244094488188998" header="0.31496062992126" footer="0.31496062992126"/>
  <pageSetup paperSize="9" scale="86" firstPageNumber="17"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Y42"/>
  <sheetViews>
    <sheetView zoomScaleNormal="100" zoomScaleSheetLayoutView="85" zoomScalePageLayoutView="85" workbookViewId="0">
      <pane xSplit="2" ySplit="6" topLeftCell="C7" activePane="bottomRight" state="frozen"/>
      <selection pane="topRight" activeCell="C1" sqref="C1"/>
      <selection pane="bottomLeft" activeCell="A8" sqref="A8"/>
      <selection pane="bottomRight" activeCell="O37" sqref="O37"/>
    </sheetView>
  </sheetViews>
  <sheetFormatPr defaultRowHeight="15" x14ac:dyDescent="0.25"/>
  <cols>
    <col min="1" max="1" width="6" style="92" customWidth="1"/>
    <col min="2" max="2" width="46.140625" style="92" customWidth="1"/>
    <col min="3" max="3" width="15.42578125" style="92" customWidth="1"/>
    <col min="4" max="4" width="16.28515625" style="451" customWidth="1"/>
    <col min="5" max="5" width="13.5703125" customWidth="1"/>
    <col min="6" max="6" width="13.7109375" hidden="1" customWidth="1"/>
    <col min="7" max="7" width="11.85546875" hidden="1" customWidth="1"/>
    <col min="8" max="8" width="10.42578125" hidden="1" customWidth="1"/>
    <col min="9" max="11" width="0" hidden="1" customWidth="1"/>
  </cols>
  <sheetData>
    <row r="1" spans="1:8" ht="15.75" customHeight="1" x14ac:dyDescent="0.25">
      <c r="A1" s="1779" t="str">
        <f>'48N'!A1</f>
        <v>UBND PHƯỜNG ĐỨC XUÂN</v>
      </c>
      <c r="B1" s="1779"/>
      <c r="D1" s="1781" t="s">
        <v>545</v>
      </c>
      <c r="E1" s="1781"/>
    </row>
    <row r="2" spans="1:8" ht="10.5" customHeight="1" x14ac:dyDescent="0.25">
      <c r="A2" s="452"/>
      <c r="B2" s="452"/>
      <c r="E2" s="7"/>
    </row>
    <row r="3" spans="1:8" ht="31.15" customHeight="1" x14ac:dyDescent="0.25">
      <c r="A3" s="1775" t="s">
        <v>523</v>
      </c>
      <c r="B3" s="1775"/>
      <c r="C3" s="1775"/>
      <c r="D3" s="1775"/>
      <c r="E3" s="1775"/>
    </row>
    <row r="4" spans="1:8" ht="17.45" customHeight="1" x14ac:dyDescent="0.25">
      <c r="A4" s="1780" t="str">
        <f>'48N'!A4:F4</f>
        <v>(Kèm theo Tờ trình số    /TTr-KTHT&amp;ĐT ngày      /4/2026 của phòng KTHT&amp;ĐT phường Đức Xuân)</v>
      </c>
      <c r="B4" s="1780"/>
      <c r="C4" s="1780"/>
      <c r="D4" s="1780"/>
      <c r="E4" s="1780"/>
    </row>
    <row r="5" spans="1:8" ht="24.75" customHeight="1" x14ac:dyDescent="0.25">
      <c r="E5" s="6" t="s">
        <v>427</v>
      </c>
    </row>
    <row r="6" spans="1:8" s="1" customFormat="1" ht="38.25" customHeight="1" x14ac:dyDescent="0.25">
      <c r="A6" s="874" t="s">
        <v>1</v>
      </c>
      <c r="B6" s="874" t="s">
        <v>168</v>
      </c>
      <c r="C6" s="910" t="s">
        <v>522</v>
      </c>
      <c r="D6" s="875" t="s">
        <v>169</v>
      </c>
      <c r="E6" s="876" t="s">
        <v>170</v>
      </c>
    </row>
    <row r="7" spans="1:8" s="34" customFormat="1" ht="16.5" customHeight="1" x14ac:dyDescent="0.2">
      <c r="A7" s="453" t="s">
        <v>4</v>
      </c>
      <c r="B7" s="453" t="s">
        <v>5</v>
      </c>
      <c r="C7" s="453">
        <v>3</v>
      </c>
      <c r="D7" s="454">
        <v>6</v>
      </c>
      <c r="E7" s="115" t="s">
        <v>204</v>
      </c>
    </row>
    <row r="8" spans="1:8" s="20" customFormat="1" ht="20.25" customHeight="1" x14ac:dyDescent="0.2">
      <c r="A8" s="455"/>
      <c r="B8" s="456" t="s">
        <v>76</v>
      </c>
      <c r="C8" s="457">
        <f>SUM(C9,C20,C38)</f>
        <v>127276000</v>
      </c>
      <c r="D8" s="458">
        <f>SUM(D9,D20,D38)</f>
        <v>178645584.73699996</v>
      </c>
      <c r="E8" s="916">
        <f>D8/C8</f>
        <v>1.4036077873047548</v>
      </c>
      <c r="F8" s="88"/>
      <c r="G8" s="230" t="e">
        <f>#REF!-'61'!E9</f>
        <v>#REF!</v>
      </c>
      <c r="H8" s="88"/>
    </row>
    <row r="9" spans="1:8" s="20" customFormat="1" ht="20.25" customHeight="1" x14ac:dyDescent="0.2">
      <c r="A9" s="459" t="s">
        <v>4</v>
      </c>
      <c r="B9" s="460" t="s">
        <v>77</v>
      </c>
      <c r="C9" s="461">
        <f>SUM(C10,C13,C16,C17,C18,C19)</f>
        <v>126279000</v>
      </c>
      <c r="D9" s="461">
        <f>SUM(D10,D13,D16,D17,D18,D19)</f>
        <v>153942243.87499997</v>
      </c>
      <c r="E9" s="916">
        <f>D9/C9</f>
        <v>1.2190644832078175</v>
      </c>
      <c r="F9" s="88"/>
      <c r="G9" s="20" t="e">
        <f>'61'!#REF!</f>
        <v>#REF!</v>
      </c>
      <c r="H9" s="88"/>
    </row>
    <row r="10" spans="1:8" s="20" customFormat="1" ht="20.25" customHeight="1" x14ac:dyDescent="0.2">
      <c r="A10" s="459" t="s">
        <v>6</v>
      </c>
      <c r="B10" s="460" t="s">
        <v>29</v>
      </c>
      <c r="C10" s="461">
        <f>SUM(C11:C12)</f>
        <v>8203000</v>
      </c>
      <c r="D10" s="461">
        <f>SUM(D11:D12)</f>
        <v>16331047.693</v>
      </c>
      <c r="E10" s="916">
        <f>D10/C10</f>
        <v>1.9908628176276972</v>
      </c>
      <c r="F10" s="88"/>
      <c r="G10" s="450" t="e">
        <f>G9-D8</f>
        <v>#REF!</v>
      </c>
    </row>
    <row r="11" spans="1:8" s="144" customFormat="1" ht="20.25" customHeight="1" x14ac:dyDescent="0.25">
      <c r="A11" s="464">
        <v>1</v>
      </c>
      <c r="B11" s="465" t="s">
        <v>78</v>
      </c>
      <c r="C11" s="466">
        <f>'61'!D12</f>
        <v>8203000</v>
      </c>
      <c r="D11" s="467">
        <f>'61'!E29-D26</f>
        <v>14849047.693</v>
      </c>
      <c r="E11" s="915">
        <f>D11/C11</f>
        <v>1.8101972074850665</v>
      </c>
    </row>
    <row r="12" spans="1:8" s="144" customFormat="1" ht="19.5" customHeight="1" x14ac:dyDescent="0.25">
      <c r="A12" s="469">
        <v>2</v>
      </c>
      <c r="B12" s="470" t="s">
        <v>27</v>
      </c>
      <c r="C12" s="471"/>
      <c r="D12" s="472">
        <f>'61'!E34</f>
        <v>1482000</v>
      </c>
      <c r="E12" s="231"/>
    </row>
    <row r="13" spans="1:8" s="20" customFormat="1" ht="19.5" customHeight="1" x14ac:dyDescent="0.2">
      <c r="A13" s="459" t="s">
        <v>12</v>
      </c>
      <c r="B13" s="473" t="s">
        <v>30</v>
      </c>
      <c r="C13" s="461">
        <v>114380000</v>
      </c>
      <c r="D13" s="463">
        <f>'61'!E36-'53N'!D24-'53N'!D27-'53N'!D35</f>
        <v>137457184.67199999</v>
      </c>
      <c r="E13" s="170">
        <f>D13/C13%</f>
        <v>120.17589147753102</v>
      </c>
      <c r="F13" s="88" t="e">
        <f>#REF!+#REF!+#REF!+#REF!</f>
        <v>#REF!</v>
      </c>
      <c r="G13" s="450" t="e">
        <f>F13-#REF!</f>
        <v>#REF!</v>
      </c>
      <c r="H13" s="88"/>
    </row>
    <row r="14" spans="1:8" s="1" customFormat="1" ht="19.5" customHeight="1" x14ac:dyDescent="0.25">
      <c r="A14" s="474"/>
      <c r="B14" s="475" t="s">
        <v>45</v>
      </c>
      <c r="C14" s="476"/>
      <c r="D14" s="477"/>
      <c r="E14" s="171"/>
      <c r="F14" s="66"/>
      <c r="G14" s="490" t="e">
        <f>#REF!</f>
        <v>#REF!</v>
      </c>
    </row>
    <row r="15" spans="1:8" s="1" customFormat="1" ht="19.5" customHeight="1" x14ac:dyDescent="0.25">
      <c r="A15" s="478">
        <v>1</v>
      </c>
      <c r="B15" s="479" t="s">
        <v>35</v>
      </c>
      <c r="C15" s="480">
        <v>68911319</v>
      </c>
      <c r="D15" s="481">
        <f>'56N'!E8</f>
        <v>75608229.204999998</v>
      </c>
      <c r="E15" s="915">
        <f>D15/C15</f>
        <v>1.0971815704906185</v>
      </c>
      <c r="G15" s="163" t="e">
        <f>G13-G14</f>
        <v>#REF!</v>
      </c>
      <c r="H15" s="163"/>
    </row>
    <row r="16" spans="1:8" s="20" customFormat="1" ht="19.5" customHeight="1" x14ac:dyDescent="0.2">
      <c r="A16" s="459" t="s">
        <v>19</v>
      </c>
      <c r="B16" s="473" t="s">
        <v>61</v>
      </c>
      <c r="C16" s="461">
        <v>2974000</v>
      </c>
      <c r="D16" s="463"/>
      <c r="E16" s="170"/>
    </row>
    <row r="17" spans="1:8" s="15" customFormat="1" ht="19.5" customHeight="1" x14ac:dyDescent="0.2">
      <c r="A17" s="459" t="s">
        <v>20</v>
      </c>
      <c r="B17" s="473" t="s">
        <v>308</v>
      </c>
      <c r="C17" s="461">
        <v>722000</v>
      </c>
      <c r="D17" s="463"/>
      <c r="E17" s="170"/>
    </row>
    <row r="18" spans="1:8" s="1" customFormat="1" ht="19.5" customHeight="1" x14ac:dyDescent="0.25">
      <c r="A18" s="459" t="s">
        <v>24</v>
      </c>
      <c r="B18" s="473" t="s">
        <v>256</v>
      </c>
      <c r="C18" s="461"/>
      <c r="D18" s="463">
        <f>'61'!G60</f>
        <v>104011.51</v>
      </c>
      <c r="E18" s="170"/>
    </row>
    <row r="19" spans="1:8" s="1" customFormat="1" ht="19.5" customHeight="1" x14ac:dyDescent="0.25">
      <c r="A19" s="459" t="s">
        <v>46</v>
      </c>
      <c r="B19" s="473" t="s">
        <v>516</v>
      </c>
      <c r="C19" s="461"/>
      <c r="D19" s="463">
        <f>'61'!E54</f>
        <v>50000</v>
      </c>
      <c r="E19" s="170"/>
    </row>
    <row r="20" spans="1:8" s="41" customFormat="1" ht="19.5" customHeight="1" x14ac:dyDescent="0.2">
      <c r="A20" s="459" t="s">
        <v>5</v>
      </c>
      <c r="B20" s="473" t="s">
        <v>199</v>
      </c>
      <c r="C20" s="462">
        <f>SUM(C21,C32)</f>
        <v>997000</v>
      </c>
      <c r="D20" s="463">
        <f>SUM(D21,D32)</f>
        <v>516129.13700000005</v>
      </c>
      <c r="E20" s="1730">
        <f>D20/C20</f>
        <v>0.51768218355065199</v>
      </c>
    </row>
    <row r="21" spans="1:8" s="1" customFormat="1" ht="19.5" customHeight="1" x14ac:dyDescent="0.25">
      <c r="A21" s="459" t="s">
        <v>6</v>
      </c>
      <c r="B21" s="473" t="s">
        <v>288</v>
      </c>
      <c r="C21" s="462">
        <f>C22+C25</f>
        <v>736000</v>
      </c>
      <c r="D21" s="462">
        <f>D22+D25</f>
        <v>315075.43700000003</v>
      </c>
      <c r="E21" s="1730">
        <f>D21/C21</f>
        <v>0.42809162635869569</v>
      </c>
      <c r="F21" s="441" t="e">
        <f>F22+#REF!+F25</f>
        <v>#REF!</v>
      </c>
      <c r="G21" s="163" t="e">
        <f>#REF!-F21</f>
        <v>#REF!</v>
      </c>
      <c r="H21" s="1">
        <f>'61N'!F11</f>
        <v>315075.43700000003</v>
      </c>
    </row>
    <row r="22" spans="1:8" s="494" customFormat="1" ht="19.5" customHeight="1" x14ac:dyDescent="0.25">
      <c r="A22" s="491">
        <v>1</v>
      </c>
      <c r="B22" s="521" t="s">
        <v>282</v>
      </c>
      <c r="C22" s="492">
        <f>C23+C24</f>
        <v>552000</v>
      </c>
      <c r="D22" s="492">
        <f>D23+D24</f>
        <v>187115.38800000001</v>
      </c>
      <c r="E22" s="1729">
        <f>D22/C22</f>
        <v>0.33897715217391305</v>
      </c>
      <c r="F22" s="493">
        <v>1800</v>
      </c>
      <c r="G22" s="513" t="e">
        <f>F22-#REF!</f>
        <v>#REF!</v>
      </c>
      <c r="H22" s="495"/>
    </row>
    <row r="23" spans="1:8" s="428" customFormat="1" ht="19.5" customHeight="1" x14ac:dyDescent="0.25">
      <c r="A23" s="496" t="s">
        <v>273</v>
      </c>
      <c r="B23" s="497" t="s">
        <v>260</v>
      </c>
      <c r="C23" s="362"/>
      <c r="D23" s="484">
        <f>'61N'!J11</f>
        <v>0</v>
      </c>
      <c r="E23" s="498"/>
      <c r="F23" s="499"/>
    </row>
    <row r="24" spans="1:8" s="428" customFormat="1" ht="19.5" customHeight="1" x14ac:dyDescent="0.25">
      <c r="A24" s="496" t="s">
        <v>273</v>
      </c>
      <c r="B24" s="497" t="s">
        <v>287</v>
      </c>
      <c r="C24" s="446">
        <v>552000</v>
      </c>
      <c r="D24" s="484">
        <f>'61N'!M11</f>
        <v>187115.38800000001</v>
      </c>
      <c r="E24" s="922">
        <f>D24/C24</f>
        <v>0.33897715217391305</v>
      </c>
      <c r="H24" s="500"/>
    </row>
    <row r="25" spans="1:8" s="494" customFormat="1" ht="31.5" customHeight="1" x14ac:dyDescent="0.25">
      <c r="A25" s="501">
        <v>2</v>
      </c>
      <c r="B25" s="502" t="s">
        <v>398</v>
      </c>
      <c r="C25" s="503">
        <f>C27+C26</f>
        <v>184000</v>
      </c>
      <c r="D25" s="503">
        <f>D27+D26</f>
        <v>127960.04900000001</v>
      </c>
      <c r="E25" s="923">
        <f>D25/C25</f>
        <v>0.69543504891304353</v>
      </c>
      <c r="F25" s="514">
        <v>3052</v>
      </c>
      <c r="G25" s="519" t="e">
        <f>F25-#REF!</f>
        <v>#REF!</v>
      </c>
    </row>
    <row r="26" spans="1:8" s="494" customFormat="1" ht="26.45" customHeight="1" x14ac:dyDescent="0.25">
      <c r="A26" s="501"/>
      <c r="B26" s="497" t="s">
        <v>260</v>
      </c>
      <c r="C26" s="505"/>
      <c r="D26" s="484">
        <f>'64'!H9</f>
        <v>60964.895000000004</v>
      </c>
      <c r="E26" s="504"/>
      <c r="F26" s="514"/>
      <c r="G26" s="495"/>
    </row>
    <row r="27" spans="1:8" s="428" customFormat="1" ht="19.5" customHeight="1" x14ac:dyDescent="0.25">
      <c r="A27" s="496" t="s">
        <v>273</v>
      </c>
      <c r="B27" s="497" t="s">
        <v>287</v>
      </c>
      <c r="C27" s="446">
        <v>184000</v>
      </c>
      <c r="D27" s="484">
        <f>'64'!H13</f>
        <v>66995.15400000001</v>
      </c>
      <c r="E27" s="922">
        <f>D27/C27</f>
        <v>0.36410409782608699</v>
      </c>
      <c r="F27" s="515"/>
    </row>
    <row r="28" spans="1:8" s="367" customFormat="1" ht="28.5" hidden="1" customHeight="1" x14ac:dyDescent="0.25">
      <c r="A28" s="501">
        <v>4</v>
      </c>
      <c r="B28" s="502" t="s">
        <v>342</v>
      </c>
      <c r="C28" s="503"/>
      <c r="D28" s="468">
        <v>0</v>
      </c>
      <c r="E28" s="506"/>
      <c r="F28" s="516"/>
      <c r="G28" s="507"/>
    </row>
    <row r="29" spans="1:8" s="285" customFormat="1" ht="19.5" hidden="1" customHeight="1" x14ac:dyDescent="0.25">
      <c r="A29" s="496" t="s">
        <v>273</v>
      </c>
      <c r="B29" s="497" t="s">
        <v>287</v>
      </c>
      <c r="C29" s="446"/>
      <c r="D29" s="484">
        <v>0</v>
      </c>
      <c r="E29" s="508"/>
      <c r="F29" s="517"/>
    </row>
    <row r="30" spans="1:8" s="367" customFormat="1" ht="28.5" hidden="1" customHeight="1" x14ac:dyDescent="0.25">
      <c r="A30" s="501">
        <v>5</v>
      </c>
      <c r="B30" s="502" t="s">
        <v>368</v>
      </c>
      <c r="C30" s="503"/>
      <c r="D30" s="468"/>
      <c r="E30" s="506"/>
      <c r="F30" s="516"/>
      <c r="G30" s="507"/>
    </row>
    <row r="31" spans="1:8" s="285" customFormat="1" ht="19.5" hidden="1" customHeight="1" x14ac:dyDescent="0.25">
      <c r="A31" s="443" t="s">
        <v>273</v>
      </c>
      <c r="B31" s="509" t="s">
        <v>287</v>
      </c>
      <c r="C31" s="444"/>
      <c r="D31" s="485"/>
      <c r="E31" s="510"/>
      <c r="F31" s="517"/>
    </row>
    <row r="32" spans="1:8" s="381" customFormat="1" ht="19.5" customHeight="1" x14ac:dyDescent="0.2">
      <c r="A32" s="511" t="s">
        <v>12</v>
      </c>
      <c r="B32" s="512" t="s">
        <v>289</v>
      </c>
      <c r="C32" s="463">
        <f>C33+C35</f>
        <v>261000</v>
      </c>
      <c r="D32" s="463">
        <f>D33+D35</f>
        <v>201053.7</v>
      </c>
      <c r="E32" s="916">
        <f>D32/C32</f>
        <v>0.77032068965517242</v>
      </c>
      <c r="F32" s="518"/>
    </row>
    <row r="33" spans="1:103" s="41" customFormat="1" ht="19.5" hidden="1" customHeight="1" x14ac:dyDescent="0.2">
      <c r="A33" s="459">
        <v>1</v>
      </c>
      <c r="B33" s="473" t="s">
        <v>353</v>
      </c>
      <c r="C33" s="462">
        <f t="shared" ref="C33" si="0">C34</f>
        <v>0</v>
      </c>
      <c r="D33" s="463">
        <f>D34</f>
        <v>0</v>
      </c>
      <c r="E33" s="170"/>
      <c r="F33" s="422"/>
    </row>
    <row r="34" spans="1:103" s="1" customFormat="1" ht="25.15" hidden="1" customHeight="1" x14ac:dyDescent="0.25">
      <c r="A34" s="486"/>
      <c r="B34" s="487" t="s">
        <v>402</v>
      </c>
      <c r="C34" s="357"/>
      <c r="D34" s="520"/>
      <c r="E34" s="232"/>
      <c r="F34" s="408"/>
    </row>
    <row r="35" spans="1:103" s="41" customFormat="1" ht="19.5" customHeight="1" x14ac:dyDescent="0.2">
      <c r="A35" s="459">
        <v>2</v>
      </c>
      <c r="B35" s="473" t="s">
        <v>287</v>
      </c>
      <c r="C35" s="462">
        <f>SUM(C36:C37)</f>
        <v>261000</v>
      </c>
      <c r="D35" s="463">
        <f>SUM(D36:D37)</f>
        <v>201053.7</v>
      </c>
      <c r="E35" s="932">
        <f>D35/C35</f>
        <v>0.77032068965517242</v>
      </c>
      <c r="F35" s="422"/>
    </row>
    <row r="36" spans="1:103" s="41" customFormat="1" ht="35.25" customHeight="1" x14ac:dyDescent="0.2">
      <c r="A36" s="924" t="s">
        <v>534</v>
      </c>
      <c r="B36" s="925" t="s">
        <v>533</v>
      </c>
      <c r="C36" s="929">
        <v>171000</v>
      </c>
      <c r="D36" s="930">
        <v>111053.7</v>
      </c>
      <c r="E36" s="933">
        <f>D36/C36</f>
        <v>0.64943684210526309</v>
      </c>
      <c r="F36" s="422"/>
    </row>
    <row r="37" spans="1:103" s="44" customFormat="1" ht="31.5" customHeight="1" x14ac:dyDescent="0.25">
      <c r="A37" s="926" t="s">
        <v>273</v>
      </c>
      <c r="B37" s="927" t="s">
        <v>369</v>
      </c>
      <c r="C37" s="928">
        <v>90000</v>
      </c>
      <c r="D37" s="485">
        <v>90000</v>
      </c>
      <c r="E37" s="931">
        <f>D37/C37</f>
        <v>1</v>
      </c>
    </row>
    <row r="38" spans="1:103" s="41" customFormat="1" ht="21" customHeight="1" x14ac:dyDescent="0.2">
      <c r="A38" s="459" t="s">
        <v>42</v>
      </c>
      <c r="B38" s="361" t="s">
        <v>200</v>
      </c>
      <c r="C38" s="141"/>
      <c r="D38" s="463">
        <f>'61'!G53</f>
        <v>24187211.725000001</v>
      </c>
      <c r="E38" s="160"/>
    </row>
    <row r="42" spans="1:103" x14ac:dyDescent="0.25">
      <c r="CY42" t="s">
        <v>405</v>
      </c>
    </row>
  </sheetData>
  <mergeCells count="4">
    <mergeCell ref="A1:B1"/>
    <mergeCell ref="A3:E3"/>
    <mergeCell ref="A4:E4"/>
    <mergeCell ref="D1:E1"/>
  </mergeCells>
  <printOptions horizontalCentered="1"/>
  <pageMargins left="0.511811023622047" right="0.511811023622047" top="0.74" bottom="0.78740157480314998" header="0.31496062992126" footer="0.31496062992126"/>
  <pageSetup paperSize="9" scale="90" firstPageNumber="18" orientation="portrait" useFirstPageNumber="1" r:id="rId1"/>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1"/>
  <sheetViews>
    <sheetView zoomScaleNormal="100" zoomScaleSheetLayoutView="100" workbookViewId="0">
      <selection activeCell="I36" sqref="I36"/>
    </sheetView>
  </sheetViews>
  <sheetFormatPr defaultColWidth="9.140625" defaultRowHeight="15" x14ac:dyDescent="0.25"/>
  <cols>
    <col min="1" max="1" width="4.85546875" style="109" customWidth="1"/>
    <col min="2" max="2" width="27.42578125" style="291" customWidth="1"/>
    <col min="3" max="3" width="12.7109375" style="119" customWidth="1"/>
    <col min="4" max="4" width="11.28515625" style="119" customWidth="1"/>
    <col min="5" max="5" width="12.7109375" style="119" customWidth="1"/>
    <col min="6" max="6" width="10.140625" style="119" customWidth="1"/>
    <col min="7" max="7" width="6.85546875" style="119" customWidth="1"/>
    <col min="8" max="8" width="10.140625" style="119" customWidth="1"/>
    <col min="9" max="9" width="12.7109375" style="109" customWidth="1"/>
    <col min="10" max="10" width="12" style="109" customWidth="1"/>
    <col min="11" max="11" width="12.140625" style="109" customWidth="1"/>
    <col min="12" max="12" width="9.28515625" style="109" customWidth="1"/>
    <col min="13" max="13" width="8.28515625" style="109" customWidth="1"/>
    <col min="14" max="14" width="8.7109375" style="109" customWidth="1"/>
    <col min="15" max="15" width="5.7109375" style="109" hidden="1" customWidth="1"/>
    <col min="16" max="16" width="7.85546875" style="109" customWidth="1"/>
    <col min="17" max="17" width="6.7109375" style="109" customWidth="1"/>
    <col min="18" max="18" width="8.42578125" style="109" customWidth="1"/>
    <col min="19" max="19" width="4.42578125" style="109" customWidth="1"/>
    <col min="20" max="20" width="5" style="109" customWidth="1"/>
    <col min="21" max="21" width="6.5703125" style="109" customWidth="1"/>
    <col min="22" max="22" width="15.42578125" style="109" bestFit="1" customWidth="1"/>
    <col min="23" max="16384" width="9.140625" style="109"/>
  </cols>
  <sheetData>
    <row r="1" spans="1:23" ht="15.75" x14ac:dyDescent="0.25">
      <c r="A1" s="1788" t="str">
        <f>'48N'!A1</f>
        <v>UBND PHƯỜNG ĐỨC XUÂN</v>
      </c>
      <c r="B1" s="1788"/>
      <c r="C1" s="1788"/>
      <c r="D1" s="1788"/>
      <c r="R1" s="1782" t="s">
        <v>546</v>
      </c>
      <c r="S1" s="1782"/>
      <c r="T1" s="1782"/>
      <c r="U1" s="1782"/>
    </row>
    <row r="2" spans="1:23" ht="11.25" customHeight="1" x14ac:dyDescent="0.25">
      <c r="A2" s="290"/>
      <c r="B2" s="290"/>
      <c r="C2" s="888"/>
      <c r="D2" s="888"/>
      <c r="R2" s="127"/>
    </row>
    <row r="3" spans="1:23" ht="15.75" customHeight="1" x14ac:dyDescent="0.25">
      <c r="A3" s="1786" t="s">
        <v>524</v>
      </c>
      <c r="B3" s="1786"/>
      <c r="C3" s="1786"/>
      <c r="D3" s="1786"/>
      <c r="E3" s="1786"/>
      <c r="F3" s="1786"/>
      <c r="G3" s="1786"/>
      <c r="H3" s="1786"/>
      <c r="I3" s="1786"/>
      <c r="J3" s="1786"/>
      <c r="K3" s="1786"/>
      <c r="L3" s="1786"/>
      <c r="M3" s="1786"/>
      <c r="N3" s="1786"/>
      <c r="O3" s="1786"/>
      <c r="P3" s="1786"/>
      <c r="Q3" s="1786"/>
      <c r="R3" s="1786"/>
      <c r="S3" s="1786"/>
      <c r="T3" s="1786"/>
      <c r="U3" s="1786"/>
    </row>
    <row r="4" spans="1:23" ht="21" customHeight="1" x14ac:dyDescent="0.25">
      <c r="A4" s="1787" t="str">
        <f>'48N'!A4:F4</f>
        <v>(Kèm theo Tờ trình số    /TTr-KTHT&amp;ĐT ngày      /4/2026 của phòng KTHT&amp;ĐT phường Đức Xuân)</v>
      </c>
      <c r="B4" s="1787"/>
      <c r="C4" s="1787"/>
      <c r="D4" s="1787"/>
      <c r="E4" s="1787"/>
      <c r="F4" s="1787"/>
      <c r="G4" s="1787"/>
      <c r="H4" s="1787"/>
      <c r="I4" s="1787"/>
      <c r="J4" s="1787"/>
      <c r="K4" s="1787"/>
      <c r="L4" s="1787"/>
      <c r="M4" s="1787"/>
      <c r="N4" s="1787"/>
      <c r="O4" s="1787"/>
      <c r="P4" s="1787"/>
      <c r="Q4" s="1787"/>
      <c r="R4" s="1787"/>
      <c r="S4" s="1787"/>
      <c r="T4" s="1787"/>
      <c r="U4" s="1787"/>
    </row>
    <row r="5" spans="1:23" ht="15.75" x14ac:dyDescent="0.25">
      <c r="C5" s="889"/>
      <c r="D5" s="430"/>
      <c r="I5" s="108"/>
      <c r="J5" s="292"/>
      <c r="K5" s="108"/>
      <c r="R5" s="1783" t="s">
        <v>427</v>
      </c>
      <c r="S5" s="1783"/>
      <c r="T5" s="1783"/>
      <c r="U5" s="1783"/>
    </row>
    <row r="6" spans="1:23" s="105" customFormat="1" ht="18" customHeight="1" x14ac:dyDescent="0.2">
      <c r="A6" s="1789" t="s">
        <v>1</v>
      </c>
      <c r="B6" s="1789" t="s">
        <v>48</v>
      </c>
      <c r="C6" s="1790" t="s">
        <v>344</v>
      </c>
      <c r="D6" s="1791"/>
      <c r="E6" s="1791"/>
      <c r="F6" s="1791"/>
      <c r="G6" s="1791"/>
      <c r="H6" s="1792"/>
      <c r="I6" s="1789" t="s">
        <v>169</v>
      </c>
      <c r="J6" s="1789"/>
      <c r="K6" s="1789"/>
      <c r="L6" s="1789"/>
      <c r="M6" s="1789"/>
      <c r="N6" s="1789"/>
      <c r="O6" s="1789"/>
      <c r="P6" s="1789" t="s">
        <v>183</v>
      </c>
      <c r="Q6" s="1789"/>
      <c r="R6" s="1789"/>
      <c r="S6" s="1789"/>
      <c r="T6" s="1789"/>
      <c r="U6" s="1789"/>
    </row>
    <row r="7" spans="1:23" s="105" customFormat="1" ht="26.25" customHeight="1" x14ac:dyDescent="0.2">
      <c r="A7" s="1789"/>
      <c r="B7" s="1789"/>
      <c r="C7" s="1784" t="s">
        <v>15</v>
      </c>
      <c r="D7" s="1785" t="s">
        <v>280</v>
      </c>
      <c r="E7" s="1785" t="s">
        <v>281</v>
      </c>
      <c r="F7" s="1784" t="s">
        <v>205</v>
      </c>
      <c r="G7" s="1784"/>
      <c r="H7" s="1784"/>
      <c r="I7" s="1784" t="s">
        <v>15</v>
      </c>
      <c r="J7" s="1785" t="s">
        <v>280</v>
      </c>
      <c r="K7" s="1785" t="s">
        <v>281</v>
      </c>
      <c r="L7" s="1784" t="s">
        <v>205</v>
      </c>
      <c r="M7" s="1784"/>
      <c r="N7" s="1784"/>
      <c r="O7" s="1784" t="s">
        <v>206</v>
      </c>
      <c r="P7" s="1784" t="s">
        <v>15</v>
      </c>
      <c r="Q7" s="1784" t="s">
        <v>29</v>
      </c>
      <c r="R7" s="1785" t="s">
        <v>30</v>
      </c>
      <c r="S7" s="1784" t="s">
        <v>205</v>
      </c>
      <c r="T7" s="1784"/>
      <c r="U7" s="1784"/>
    </row>
    <row r="8" spans="1:23" s="105" customFormat="1" ht="67.150000000000006" customHeight="1" x14ac:dyDescent="0.2">
      <c r="A8" s="1789"/>
      <c r="B8" s="1789"/>
      <c r="C8" s="1784"/>
      <c r="D8" s="1785"/>
      <c r="E8" s="1785"/>
      <c r="F8" s="877" t="s">
        <v>15</v>
      </c>
      <c r="G8" s="877" t="s">
        <v>29</v>
      </c>
      <c r="H8" s="877" t="s">
        <v>30</v>
      </c>
      <c r="I8" s="1784"/>
      <c r="J8" s="1785"/>
      <c r="K8" s="1785"/>
      <c r="L8" s="293" t="s">
        <v>15</v>
      </c>
      <c r="M8" s="293" t="s">
        <v>29</v>
      </c>
      <c r="N8" s="293" t="s">
        <v>30</v>
      </c>
      <c r="O8" s="1784"/>
      <c r="P8" s="1784"/>
      <c r="Q8" s="1784"/>
      <c r="R8" s="1785"/>
      <c r="S8" s="148" t="s">
        <v>15</v>
      </c>
      <c r="T8" s="148" t="s">
        <v>29</v>
      </c>
      <c r="U8" s="148" t="s">
        <v>30</v>
      </c>
      <c r="V8" s="295"/>
      <c r="W8" s="294"/>
    </row>
    <row r="9" spans="1:23" s="1120" customFormat="1" ht="19.5" customHeight="1" x14ac:dyDescent="0.2">
      <c r="A9" s="1116" t="s">
        <v>4</v>
      </c>
      <c r="B9" s="1116" t="s">
        <v>5</v>
      </c>
      <c r="C9" s="1116">
        <v>1</v>
      </c>
      <c r="D9" s="1116">
        <v>2</v>
      </c>
      <c r="E9" s="1116">
        <v>3</v>
      </c>
      <c r="F9" s="1116">
        <v>4</v>
      </c>
      <c r="G9" s="1116">
        <v>5</v>
      </c>
      <c r="H9" s="1116">
        <v>6</v>
      </c>
      <c r="I9" s="1116">
        <v>7</v>
      </c>
      <c r="J9" s="1116">
        <v>8</v>
      </c>
      <c r="K9" s="1116">
        <v>9</v>
      </c>
      <c r="L9" s="1116">
        <v>10</v>
      </c>
      <c r="M9" s="1116">
        <v>11</v>
      </c>
      <c r="N9" s="1116">
        <v>12</v>
      </c>
      <c r="O9" s="1116">
        <v>13</v>
      </c>
      <c r="P9" s="1116">
        <v>13</v>
      </c>
      <c r="Q9" s="1116">
        <v>14</v>
      </c>
      <c r="R9" s="1116">
        <v>15</v>
      </c>
      <c r="S9" s="1117">
        <v>16</v>
      </c>
      <c r="T9" s="1117">
        <v>17</v>
      </c>
      <c r="U9" s="1117">
        <v>18</v>
      </c>
      <c r="V9" s="1118"/>
      <c r="W9" s="1119"/>
    </row>
    <row r="10" spans="1:23" s="104" customFormat="1" ht="20.100000000000001" customHeight="1" x14ac:dyDescent="0.2">
      <c r="A10" s="296"/>
      <c r="B10" s="297" t="s">
        <v>31</v>
      </c>
      <c r="C10" s="664">
        <f>SUM(C11,C32,C33,C34,C35,C36)</f>
        <v>179256724.29699999</v>
      </c>
      <c r="D10" s="664">
        <f t="shared" ref="D10:G10" si="0">SUM(D11,D32,D33,D34,D35,D36)</f>
        <v>13206200</v>
      </c>
      <c r="E10" s="664">
        <f t="shared" si="0"/>
        <v>165314524.29699999</v>
      </c>
      <c r="F10" s="664">
        <f>SUM(F11,F32,F33,F34,F35,F36)</f>
        <v>736000</v>
      </c>
      <c r="G10" s="664">
        <f t="shared" si="0"/>
        <v>0</v>
      </c>
      <c r="H10" s="664">
        <f>SUM(H11,H32,H33,H34,H35,H36)</f>
        <v>736000</v>
      </c>
      <c r="I10" s="664">
        <f>SUM(I11,I32,I33,I34,I35,I36)</f>
        <v>178645584.73699999</v>
      </c>
      <c r="J10" s="664">
        <f>SUM(J11,J32,J33,J34,J35,J36)</f>
        <v>16331047.693</v>
      </c>
      <c r="K10" s="664">
        <f t="shared" ref="K10:N10" si="1">SUM(K11,K32,K33,K34,K35,K36)</f>
        <v>137597273.47700003</v>
      </c>
      <c r="L10" s="664">
        <f t="shared" si="1"/>
        <v>376040.33200000005</v>
      </c>
      <c r="M10" s="664">
        <f t="shared" si="1"/>
        <v>60964.895000000004</v>
      </c>
      <c r="N10" s="664">
        <f t="shared" si="1"/>
        <v>315075.43700000003</v>
      </c>
      <c r="O10" s="664">
        <f t="shared" ref="O10" si="2">SUM(O11,O32,O33,O35,O36)</f>
        <v>0</v>
      </c>
      <c r="P10" s="890">
        <f t="shared" ref="P10" si="3">I10/C10%</f>
        <v>99.659070217646374</v>
      </c>
      <c r="Q10" s="890">
        <f t="shared" ref="Q10:R12" si="4">J10/D10%</f>
        <v>123.66197462555466</v>
      </c>
      <c r="R10" s="890">
        <f t="shared" si="4"/>
        <v>83.233626362917846</v>
      </c>
      <c r="S10" s="298"/>
      <c r="T10" s="298"/>
      <c r="U10" s="298"/>
      <c r="V10" s="300"/>
      <c r="W10" s="301"/>
    </row>
    <row r="11" spans="1:23" s="104" customFormat="1" ht="20.100000000000001" customHeight="1" x14ac:dyDescent="0.2">
      <c r="A11" s="302" t="s">
        <v>4</v>
      </c>
      <c r="B11" s="303" t="s">
        <v>207</v>
      </c>
      <c r="C11" s="890">
        <f>C12+C29</f>
        <v>175560724.29699999</v>
      </c>
      <c r="D11" s="890">
        <f t="shared" ref="D11:H11" si="5">D12+D29</f>
        <v>13206200</v>
      </c>
      <c r="E11" s="890">
        <f t="shared" si="5"/>
        <v>161618524.29699999</v>
      </c>
      <c r="F11" s="890">
        <f t="shared" si="5"/>
        <v>736000</v>
      </c>
      <c r="G11" s="890">
        <f t="shared" si="5"/>
        <v>0</v>
      </c>
      <c r="H11" s="890">
        <f t="shared" si="5"/>
        <v>736000</v>
      </c>
      <c r="I11" s="890">
        <f t="shared" ref="I11" si="6">I12+I29</f>
        <v>154304361.502</v>
      </c>
      <c r="J11" s="890">
        <f t="shared" ref="J11" si="7">J12+J29</f>
        <v>16331047.693</v>
      </c>
      <c r="K11" s="890">
        <f>K12+K29</f>
        <v>137597273.47700003</v>
      </c>
      <c r="L11" s="890">
        <f t="shared" ref="L11" si="8">L12+L29</f>
        <v>376040.33200000005</v>
      </c>
      <c r="M11" s="890">
        <f t="shared" ref="M11" si="9">M12+M29</f>
        <v>60964.895000000004</v>
      </c>
      <c r="N11" s="890">
        <f t="shared" ref="N11" si="10">N12+N29</f>
        <v>315075.43700000003</v>
      </c>
      <c r="O11" s="890">
        <f t="shared" ref="O11" si="11">O12+O29</f>
        <v>0</v>
      </c>
      <c r="P11" s="890">
        <f t="shared" ref="P11" si="12">I11/C11%</f>
        <v>87.89230172060573</v>
      </c>
      <c r="Q11" s="890">
        <f t="shared" si="4"/>
        <v>123.66197462555466</v>
      </c>
      <c r="R11" s="890">
        <f t="shared" si="4"/>
        <v>85.137068337626275</v>
      </c>
      <c r="S11" s="122"/>
      <c r="T11" s="122"/>
      <c r="U11" s="122"/>
      <c r="V11" s="304"/>
      <c r="W11" s="301"/>
    </row>
    <row r="12" spans="1:23" s="104" customFormat="1" ht="20.100000000000001" customHeight="1" x14ac:dyDescent="0.2">
      <c r="A12" s="121" t="s">
        <v>6</v>
      </c>
      <c r="B12" s="305" t="s">
        <v>274</v>
      </c>
      <c r="C12" s="890">
        <f t="shared" ref="C12:H12" si="13">SUM(C13:C28)</f>
        <v>175268114.29699999</v>
      </c>
      <c r="D12" s="890">
        <f t="shared" si="13"/>
        <v>13206200</v>
      </c>
      <c r="E12" s="890">
        <f t="shared" si="13"/>
        <v>161325914.29699999</v>
      </c>
      <c r="F12" s="890">
        <f t="shared" si="13"/>
        <v>736000</v>
      </c>
      <c r="G12" s="890">
        <f t="shared" si="13"/>
        <v>0</v>
      </c>
      <c r="H12" s="890">
        <f t="shared" si="13"/>
        <v>736000</v>
      </c>
      <c r="I12" s="890">
        <f t="shared" ref="I12:O12" si="14">SUM(I13:I28)</f>
        <v>154075364.15799999</v>
      </c>
      <c r="J12" s="890">
        <f t="shared" si="14"/>
        <v>16331047.693</v>
      </c>
      <c r="K12" s="890">
        <f t="shared" si="14"/>
        <v>137368276.13300002</v>
      </c>
      <c r="L12" s="890">
        <f t="shared" si="14"/>
        <v>376040.33200000005</v>
      </c>
      <c r="M12" s="890">
        <f t="shared" si="14"/>
        <v>60964.895000000004</v>
      </c>
      <c r="N12" s="890">
        <f t="shared" si="14"/>
        <v>315075.43700000003</v>
      </c>
      <c r="O12" s="890">
        <f t="shared" si="14"/>
        <v>0</v>
      </c>
      <c r="P12" s="890">
        <f t="shared" ref="P12" si="15">I12/C12%</f>
        <v>87.908382409427944</v>
      </c>
      <c r="Q12" s="890">
        <f t="shared" si="4"/>
        <v>123.66197462555466</v>
      </c>
      <c r="R12" s="890">
        <f t="shared" si="4"/>
        <v>85.149541368850322</v>
      </c>
      <c r="S12" s="122"/>
      <c r="T12" s="122"/>
      <c r="U12" s="122"/>
      <c r="V12" s="306"/>
      <c r="W12" s="301"/>
    </row>
    <row r="13" spans="1:23" s="360" customFormat="1" ht="20.100000000000001" customHeight="1" x14ac:dyDescent="0.2">
      <c r="A13" s="552">
        <v>1</v>
      </c>
      <c r="B13" s="208" t="s">
        <v>409</v>
      </c>
      <c r="C13" s="667">
        <f>SUM(D13:F13)</f>
        <v>8847741.625</v>
      </c>
      <c r="D13" s="667"/>
      <c r="E13" s="667">
        <f>'57N'!C12-H13</f>
        <v>8827741.625</v>
      </c>
      <c r="F13" s="107">
        <f>SUM(G13:H13)</f>
        <v>20000</v>
      </c>
      <c r="G13" s="667"/>
      <c r="H13" s="107">
        <f>'61N'!C12</f>
        <v>20000</v>
      </c>
      <c r="I13" s="667">
        <f t="shared" ref="I13:I19" si="16">SUM(J13:L13,O13)</f>
        <v>6567114.243999999</v>
      </c>
      <c r="J13" s="667"/>
      <c r="K13" s="667">
        <f>'57N'!H12-N13</f>
        <v>6547114.243999999</v>
      </c>
      <c r="L13" s="107">
        <f>SUM(M13:N13)</f>
        <v>20000</v>
      </c>
      <c r="M13" s="667"/>
      <c r="N13" s="667">
        <f>'61N'!F12</f>
        <v>20000</v>
      </c>
      <c r="O13" s="667"/>
      <c r="P13" s="667">
        <f>I13/C13%</f>
        <v>74.223621375245571</v>
      </c>
      <c r="Q13" s="667"/>
      <c r="R13" s="667">
        <f>K13/E13%</f>
        <v>74.165222795586743</v>
      </c>
      <c r="S13" s="358"/>
      <c r="T13" s="433"/>
      <c r="U13" s="433"/>
      <c r="V13" s="427"/>
      <c r="W13" s="427"/>
    </row>
    <row r="14" spans="1:23" s="360" customFormat="1" ht="20.100000000000001" customHeight="1" x14ac:dyDescent="0.2">
      <c r="A14" s="555">
        <v>2</v>
      </c>
      <c r="B14" s="556" t="s">
        <v>413</v>
      </c>
      <c r="C14" s="107">
        <f t="shared" ref="C14:C28" si="17">SUM(D14:F14)</f>
        <v>25989798.066</v>
      </c>
      <c r="D14" s="107">
        <f>'55N'!C11</f>
        <v>10486200</v>
      </c>
      <c r="E14" s="107">
        <f>'57N'!C13-H14</f>
        <v>15191598.066000002</v>
      </c>
      <c r="F14" s="107">
        <f t="shared" ref="F14:F17" si="18">SUM(G14:H14)</f>
        <v>312000</v>
      </c>
      <c r="G14" s="107"/>
      <c r="H14" s="107">
        <f>'61N'!C13</f>
        <v>312000</v>
      </c>
      <c r="I14" s="107">
        <f t="shared" si="16"/>
        <v>28075222.581</v>
      </c>
      <c r="J14" s="107">
        <f>'55N'!D11+'55N'!D14-M14</f>
        <v>13641635.424000001</v>
      </c>
      <c r="K14" s="107">
        <f>'57N'!H13-N14</f>
        <v>14139540.867000002</v>
      </c>
      <c r="L14" s="107">
        <f>SUM(M14:N14)</f>
        <v>294046.29000000004</v>
      </c>
      <c r="M14" s="107">
        <f>'64'!H8</f>
        <v>60964.895000000004</v>
      </c>
      <c r="N14" s="667">
        <f>'61N'!F13</f>
        <v>233081.39500000002</v>
      </c>
      <c r="O14" s="107"/>
      <c r="P14" s="107">
        <f t="shared" ref="P14:P28" si="19">I14/C14%</f>
        <v>108.02401199772369</v>
      </c>
      <c r="Q14" s="107"/>
      <c r="R14" s="107">
        <f t="shared" ref="R14:R27" si="20">K14/E14%</f>
        <v>93.074743062386673</v>
      </c>
      <c r="S14" s="359"/>
      <c r="T14" s="429"/>
      <c r="U14" s="429"/>
      <c r="V14" s="432"/>
    </row>
    <row r="15" spans="1:23" s="360" customFormat="1" ht="20.100000000000001" customHeight="1" x14ac:dyDescent="0.2">
      <c r="A15" s="559">
        <v>3</v>
      </c>
      <c r="B15" s="560" t="s">
        <v>414</v>
      </c>
      <c r="C15" s="107">
        <f>SUM(D15:F15)</f>
        <v>20326614.969999999</v>
      </c>
      <c r="D15" s="107"/>
      <c r="E15" s="107">
        <f>'57N'!C14-H15</f>
        <v>19944614.969999999</v>
      </c>
      <c r="F15" s="107">
        <f t="shared" si="18"/>
        <v>382000</v>
      </c>
      <c r="G15" s="107"/>
      <c r="H15" s="107">
        <f>'61N'!C14</f>
        <v>382000</v>
      </c>
      <c r="I15" s="107">
        <f t="shared" si="16"/>
        <v>19412769.163999997</v>
      </c>
      <c r="J15" s="107"/>
      <c r="K15" s="107">
        <f>'57N'!H14-N15</f>
        <v>19372775.121999998</v>
      </c>
      <c r="L15" s="107">
        <f t="shared" ref="L15:L25" si="21">SUM(M15:N15)</f>
        <v>39994.042000000001</v>
      </c>
      <c r="M15" s="107"/>
      <c r="N15" s="667">
        <f>'61N'!F14</f>
        <v>39994.042000000001</v>
      </c>
      <c r="O15" s="107"/>
      <c r="P15" s="107">
        <f>I15/C15%</f>
        <v>95.504190897752807</v>
      </c>
      <c r="Q15" s="107"/>
      <c r="R15" s="107">
        <f>K15/E15%</f>
        <v>97.132860930831995</v>
      </c>
      <c r="S15" s="359"/>
      <c r="T15" s="429"/>
      <c r="U15" s="429"/>
      <c r="V15" s="427"/>
      <c r="W15" s="427"/>
    </row>
    <row r="16" spans="1:23" s="360" customFormat="1" ht="20.100000000000001" customHeight="1" x14ac:dyDescent="0.2">
      <c r="A16" s="555">
        <v>4</v>
      </c>
      <c r="B16" s="560" t="s">
        <v>415</v>
      </c>
      <c r="C16" s="107">
        <f>SUM(D16:F16)</f>
        <v>7080259.625</v>
      </c>
      <c r="D16" s="107"/>
      <c r="E16" s="107">
        <f>'57N'!C15-H16</f>
        <v>7080259.625</v>
      </c>
      <c r="F16" s="107"/>
      <c r="G16" s="107"/>
      <c r="H16" s="107"/>
      <c r="I16" s="107">
        <f t="shared" si="16"/>
        <v>7047041.8210000005</v>
      </c>
      <c r="J16" s="107"/>
      <c r="K16" s="107">
        <f>'57N'!H15</f>
        <v>7047041.8210000005</v>
      </c>
      <c r="L16" s="107">
        <f t="shared" si="21"/>
        <v>0</v>
      </c>
      <c r="M16" s="107"/>
      <c r="N16" s="667"/>
      <c r="O16" s="107"/>
      <c r="P16" s="107">
        <f>I16/C16%</f>
        <v>99.530839181621118</v>
      </c>
      <c r="Q16" s="107"/>
      <c r="R16" s="107">
        <f>K16/E16%</f>
        <v>99.530839181621118</v>
      </c>
      <c r="S16" s="359"/>
      <c r="T16" s="429"/>
      <c r="U16" s="429"/>
    </row>
    <row r="17" spans="1:22" s="360" customFormat="1" ht="20.100000000000001" customHeight="1" x14ac:dyDescent="0.2">
      <c r="A17" s="559">
        <v>5</v>
      </c>
      <c r="B17" s="556" t="s">
        <v>416</v>
      </c>
      <c r="C17" s="107">
        <f>SUM(D17:F17)</f>
        <v>6261161.159</v>
      </c>
      <c r="D17" s="107"/>
      <c r="E17" s="107">
        <f>'57N'!C16-H17</f>
        <v>6239161.159</v>
      </c>
      <c r="F17" s="107">
        <f t="shared" si="18"/>
        <v>22000</v>
      </c>
      <c r="G17" s="107"/>
      <c r="H17" s="107">
        <f>'61N'!C15</f>
        <v>22000</v>
      </c>
      <c r="I17" s="107">
        <f t="shared" si="16"/>
        <v>6174135.159</v>
      </c>
      <c r="J17" s="107"/>
      <c r="K17" s="107">
        <f>'57N'!H16-N17</f>
        <v>6152135.159</v>
      </c>
      <c r="L17" s="107">
        <f t="shared" si="21"/>
        <v>22000</v>
      </c>
      <c r="M17" s="107"/>
      <c r="N17" s="667">
        <f>'61N'!F15</f>
        <v>22000</v>
      </c>
      <c r="O17" s="107"/>
      <c r="P17" s="107">
        <f>I17/C17%</f>
        <v>98.610066123678891</v>
      </c>
      <c r="Q17" s="107"/>
      <c r="R17" s="107">
        <f>K17/E17%</f>
        <v>98.605165056932933</v>
      </c>
      <c r="S17" s="359"/>
      <c r="T17" s="429"/>
      <c r="U17" s="429"/>
    </row>
    <row r="18" spans="1:22" s="360" customFormat="1" ht="20.100000000000001" customHeight="1" x14ac:dyDescent="0.2">
      <c r="A18" s="555">
        <v>6</v>
      </c>
      <c r="B18" s="560" t="s">
        <v>417</v>
      </c>
      <c r="C18" s="107">
        <f>SUM(D18:F18)</f>
        <v>620201.92000000004</v>
      </c>
      <c r="D18" s="107"/>
      <c r="E18" s="107">
        <f>'57N'!C17-H18</f>
        <v>620201.92000000004</v>
      </c>
      <c r="F18" s="107"/>
      <c r="G18" s="107"/>
      <c r="H18" s="107"/>
      <c r="I18" s="107">
        <f t="shared" si="16"/>
        <v>620201.92000000004</v>
      </c>
      <c r="J18" s="107"/>
      <c r="K18" s="107">
        <f>'57N'!H17</f>
        <v>620201.92000000004</v>
      </c>
      <c r="L18" s="107">
        <f>SUM(M18:N18)</f>
        <v>0</v>
      </c>
      <c r="M18" s="107"/>
      <c r="N18" s="667"/>
      <c r="O18" s="107"/>
      <c r="P18" s="107">
        <f>I18/C18%</f>
        <v>100</v>
      </c>
      <c r="Q18" s="107"/>
      <c r="R18" s="107">
        <f>K18/E18%</f>
        <v>100</v>
      </c>
      <c r="S18" s="359"/>
      <c r="T18" s="429"/>
      <c r="U18" s="429"/>
    </row>
    <row r="19" spans="1:22" s="360" customFormat="1" ht="20.100000000000001" customHeight="1" x14ac:dyDescent="0.2">
      <c r="A19" s="555">
        <v>7</v>
      </c>
      <c r="B19" s="556" t="s">
        <v>418</v>
      </c>
      <c r="C19" s="107">
        <f>SUM(D19:F19)</f>
        <v>13769544.189000001</v>
      </c>
      <c r="D19" s="107">
        <f>'55N'!C12</f>
        <v>2720000</v>
      </c>
      <c r="E19" s="107">
        <f>'57N'!C18-H19</f>
        <v>11049544.189000001</v>
      </c>
      <c r="F19" s="107"/>
      <c r="G19" s="107"/>
      <c r="H19" s="107"/>
      <c r="I19" s="107">
        <f t="shared" si="16"/>
        <v>10874005.218</v>
      </c>
      <c r="J19" s="107">
        <f>'55N'!D12</f>
        <v>2689412.2689999999</v>
      </c>
      <c r="K19" s="107">
        <f>'57N'!H18</f>
        <v>8184592.949</v>
      </c>
      <c r="L19" s="107">
        <f t="shared" si="21"/>
        <v>0</v>
      </c>
      <c r="M19" s="107"/>
      <c r="N19" s="667"/>
      <c r="O19" s="107"/>
      <c r="P19" s="107">
        <f t="shared" si="19"/>
        <v>78.971424680033024</v>
      </c>
      <c r="Q19" s="107"/>
      <c r="R19" s="107">
        <f t="shared" si="20"/>
        <v>74.071769921042474</v>
      </c>
      <c r="S19" s="359"/>
      <c r="T19" s="429"/>
      <c r="U19" s="429"/>
    </row>
    <row r="20" spans="1:22" s="360" customFormat="1" ht="20.100000000000001" customHeight="1" x14ac:dyDescent="0.2">
      <c r="A20" s="555">
        <v>8</v>
      </c>
      <c r="B20" s="556" t="s">
        <v>419</v>
      </c>
      <c r="C20" s="107">
        <f t="shared" si="17"/>
        <v>5464422.4869999997</v>
      </c>
      <c r="D20" s="107"/>
      <c r="E20" s="107">
        <f>'57N'!C19-H20</f>
        <v>5464422.4869999997</v>
      </c>
      <c r="F20" s="107"/>
      <c r="G20" s="107"/>
      <c r="H20" s="107"/>
      <c r="I20" s="107">
        <f t="shared" ref="I20:I26" si="22">SUM(J20:L20,O20)</f>
        <v>5442330.4790000003</v>
      </c>
      <c r="J20" s="107"/>
      <c r="K20" s="107">
        <f>'57N'!H19</f>
        <v>5442330.4790000003</v>
      </c>
      <c r="L20" s="107">
        <f t="shared" si="21"/>
        <v>0</v>
      </c>
      <c r="M20" s="107"/>
      <c r="N20" s="667"/>
      <c r="O20" s="107"/>
      <c r="P20" s="107">
        <f t="shared" si="19"/>
        <v>99.595711933830941</v>
      </c>
      <c r="Q20" s="107"/>
      <c r="R20" s="107">
        <f t="shared" si="20"/>
        <v>99.595711933830941</v>
      </c>
      <c r="S20" s="359"/>
      <c r="T20" s="429"/>
      <c r="U20" s="429"/>
    </row>
    <row r="21" spans="1:22" s="360" customFormat="1" ht="18.75" customHeight="1" x14ac:dyDescent="0.2">
      <c r="A21" s="559">
        <v>9</v>
      </c>
      <c r="B21" s="560" t="s">
        <v>420</v>
      </c>
      <c r="C21" s="107">
        <f t="shared" si="17"/>
        <v>6771238.1529999999</v>
      </c>
      <c r="D21" s="107"/>
      <c r="E21" s="107">
        <f>'57N'!C20-H21</f>
        <v>6771238.1529999999</v>
      </c>
      <c r="F21" s="107"/>
      <c r="G21" s="107"/>
      <c r="H21" s="107"/>
      <c r="I21" s="107">
        <f t="shared" si="22"/>
        <v>6693944.1449999996</v>
      </c>
      <c r="J21" s="107"/>
      <c r="K21" s="107">
        <f>'57N'!H20</f>
        <v>6693944.1449999996</v>
      </c>
      <c r="L21" s="107">
        <f t="shared" si="21"/>
        <v>0</v>
      </c>
      <c r="M21" s="107"/>
      <c r="N21" s="667"/>
      <c r="O21" s="107"/>
      <c r="P21" s="107">
        <f t="shared" si="19"/>
        <v>98.858495207914743</v>
      </c>
      <c r="Q21" s="107"/>
      <c r="R21" s="107">
        <f t="shared" si="20"/>
        <v>98.858495207914743</v>
      </c>
      <c r="S21" s="359"/>
      <c r="T21" s="429"/>
      <c r="U21" s="429"/>
    </row>
    <row r="22" spans="1:22" s="360" customFormat="1" ht="19.899999999999999" customHeight="1" x14ac:dyDescent="0.2">
      <c r="A22" s="555">
        <v>10</v>
      </c>
      <c r="B22" s="560" t="s">
        <v>421</v>
      </c>
      <c r="C22" s="107">
        <f t="shared" si="17"/>
        <v>10008695.982000001</v>
      </c>
      <c r="D22" s="107"/>
      <c r="E22" s="107">
        <f>'57N'!C21-H22</f>
        <v>10008695.982000001</v>
      </c>
      <c r="F22" s="107"/>
      <c r="G22" s="107"/>
      <c r="H22" s="107"/>
      <c r="I22" s="107">
        <f t="shared" si="22"/>
        <v>9917278.3389999997</v>
      </c>
      <c r="J22" s="107"/>
      <c r="K22" s="107">
        <f>'57N'!H21</f>
        <v>9917278.3389999997</v>
      </c>
      <c r="L22" s="107">
        <f t="shared" si="21"/>
        <v>0</v>
      </c>
      <c r="M22" s="107"/>
      <c r="N22" s="667"/>
      <c r="O22" s="107"/>
      <c r="P22" s="107">
        <f t="shared" si="19"/>
        <v>99.086617845477477</v>
      </c>
      <c r="Q22" s="107"/>
      <c r="R22" s="107">
        <f t="shared" si="20"/>
        <v>99.086617845477477</v>
      </c>
      <c r="S22" s="359"/>
      <c r="T22" s="429"/>
      <c r="U22" s="429"/>
    </row>
    <row r="23" spans="1:22" s="360" customFormat="1" ht="21" customHeight="1" x14ac:dyDescent="0.2">
      <c r="A23" s="559">
        <v>11</v>
      </c>
      <c r="B23" s="560" t="s">
        <v>422</v>
      </c>
      <c r="C23" s="107">
        <f t="shared" si="17"/>
        <v>7632955.0889999997</v>
      </c>
      <c r="D23" s="107"/>
      <c r="E23" s="107">
        <f>'57N'!C22-H23</f>
        <v>7632955.0889999997</v>
      </c>
      <c r="F23" s="107"/>
      <c r="G23" s="107"/>
      <c r="H23" s="107"/>
      <c r="I23" s="107">
        <f>SUM(J23:L23,O23)</f>
        <v>7301898.1569999997</v>
      </c>
      <c r="J23" s="107"/>
      <c r="K23" s="107">
        <f>'57N'!H22</f>
        <v>7301898.1569999997</v>
      </c>
      <c r="L23" s="107">
        <f t="shared" si="21"/>
        <v>0</v>
      </c>
      <c r="M23" s="107"/>
      <c r="N23" s="667"/>
      <c r="O23" s="107"/>
      <c r="P23" s="107">
        <f t="shared" si="19"/>
        <v>95.66279470873485</v>
      </c>
      <c r="Q23" s="107"/>
      <c r="R23" s="107">
        <f t="shared" si="20"/>
        <v>95.66279470873485</v>
      </c>
      <c r="S23" s="359"/>
      <c r="T23" s="429"/>
      <c r="U23" s="429"/>
    </row>
    <row r="24" spans="1:22" s="360" customFormat="1" ht="20.100000000000001" customHeight="1" x14ac:dyDescent="0.2">
      <c r="A24" s="555">
        <v>12</v>
      </c>
      <c r="B24" s="560" t="s">
        <v>423</v>
      </c>
      <c r="C24" s="107">
        <f t="shared" si="17"/>
        <v>10512995.118999999</v>
      </c>
      <c r="D24" s="107"/>
      <c r="E24" s="107">
        <f>'57N'!C23-H24</f>
        <v>10512995.118999999</v>
      </c>
      <c r="F24" s="107"/>
      <c r="G24" s="107"/>
      <c r="H24" s="107"/>
      <c r="I24" s="107">
        <f t="shared" si="22"/>
        <v>9909896.0010000002</v>
      </c>
      <c r="J24" s="107"/>
      <c r="K24" s="107">
        <f>'57N'!H23</f>
        <v>9909896.0010000002</v>
      </c>
      <c r="L24" s="107">
        <f t="shared" si="21"/>
        <v>0</v>
      </c>
      <c r="M24" s="107"/>
      <c r="N24" s="107"/>
      <c r="O24" s="107"/>
      <c r="P24" s="107">
        <f t="shared" si="19"/>
        <v>94.263298791892083</v>
      </c>
      <c r="Q24" s="107"/>
      <c r="R24" s="107">
        <f t="shared" si="20"/>
        <v>94.263298791892083</v>
      </c>
      <c r="S24" s="359"/>
      <c r="T24" s="429"/>
      <c r="U24" s="429"/>
    </row>
    <row r="25" spans="1:22" s="360" customFormat="1" ht="20.100000000000001" customHeight="1" x14ac:dyDescent="0.2">
      <c r="A25" s="559">
        <v>13</v>
      </c>
      <c r="B25" s="560" t="s">
        <v>424</v>
      </c>
      <c r="C25" s="107">
        <f>SUM(D25:F25)</f>
        <v>15573664.778000001</v>
      </c>
      <c r="D25" s="107"/>
      <c r="E25" s="107">
        <f>'57N'!C24-H25</f>
        <v>15573664.778000001</v>
      </c>
      <c r="F25" s="107"/>
      <c r="G25" s="107"/>
      <c r="H25" s="107"/>
      <c r="I25" s="107">
        <f t="shared" si="22"/>
        <v>15017929.405999999</v>
      </c>
      <c r="J25" s="107"/>
      <c r="K25" s="107">
        <f>'57N'!H24</f>
        <v>15017929.405999999</v>
      </c>
      <c r="L25" s="107">
        <f t="shared" si="21"/>
        <v>0</v>
      </c>
      <c r="M25" s="107"/>
      <c r="N25" s="107"/>
      <c r="O25" s="107"/>
      <c r="P25" s="107">
        <f t="shared" si="19"/>
        <v>96.43156970487091</v>
      </c>
      <c r="Q25" s="107"/>
      <c r="R25" s="107">
        <f t="shared" si="20"/>
        <v>96.43156970487091</v>
      </c>
      <c r="S25" s="359"/>
      <c r="T25" s="429"/>
      <c r="U25" s="429"/>
    </row>
    <row r="26" spans="1:22" s="360" customFormat="1" ht="19.899999999999999" customHeight="1" x14ac:dyDescent="0.2">
      <c r="A26" s="555">
        <v>14</v>
      </c>
      <c r="B26" s="560" t="s">
        <v>388</v>
      </c>
      <c r="C26" s="107">
        <f t="shared" si="17"/>
        <v>10991692.799000001</v>
      </c>
      <c r="D26" s="107"/>
      <c r="E26" s="107">
        <f>'57N'!C25-H26</f>
        <v>10991692.799000001</v>
      </c>
      <c r="F26" s="107"/>
      <c r="G26" s="107"/>
      <c r="H26" s="107"/>
      <c r="I26" s="107">
        <f t="shared" si="22"/>
        <v>10340829.84</v>
      </c>
      <c r="J26" s="107"/>
      <c r="K26" s="107">
        <f>'57N'!H25</f>
        <v>10340829.84</v>
      </c>
      <c r="L26" s="107">
        <f t="shared" ref="L26:L28" si="23">SUM(M26:N26)</f>
        <v>0</v>
      </c>
      <c r="M26" s="107"/>
      <c r="N26" s="107"/>
      <c r="O26" s="107"/>
      <c r="P26" s="107">
        <f t="shared" si="19"/>
        <v>94.078592161352844</v>
      </c>
      <c r="Q26" s="107"/>
      <c r="R26" s="107">
        <f t="shared" si="20"/>
        <v>94.078592161352844</v>
      </c>
      <c r="S26" s="359"/>
      <c r="T26" s="429"/>
      <c r="U26" s="429"/>
    </row>
    <row r="27" spans="1:22" s="125" customFormat="1" ht="19.149999999999999" customHeight="1" x14ac:dyDescent="0.2">
      <c r="A27" s="559">
        <v>15</v>
      </c>
      <c r="B27" s="560" t="s">
        <v>387</v>
      </c>
      <c r="C27" s="107">
        <f t="shared" si="17"/>
        <v>11004408.636</v>
      </c>
      <c r="D27" s="107"/>
      <c r="E27" s="107">
        <f>'57N'!C26-H27</f>
        <v>11004408.636</v>
      </c>
      <c r="F27" s="107"/>
      <c r="G27" s="107"/>
      <c r="H27" s="107"/>
      <c r="I27" s="107">
        <f>SUM(J27:L27,O27)</f>
        <v>10680767.684</v>
      </c>
      <c r="J27" s="107"/>
      <c r="K27" s="107">
        <f>'57N'!H26</f>
        <v>10680767.684</v>
      </c>
      <c r="L27" s="107">
        <f t="shared" si="23"/>
        <v>0</v>
      </c>
      <c r="M27" s="107"/>
      <c r="N27" s="107"/>
      <c r="O27" s="107"/>
      <c r="P27" s="107">
        <f t="shared" si="19"/>
        <v>97.05898824093795</v>
      </c>
      <c r="Q27" s="107"/>
      <c r="R27" s="107">
        <f t="shared" si="20"/>
        <v>97.05898824093795</v>
      </c>
      <c r="S27" s="124"/>
      <c r="T27" s="124"/>
      <c r="U27" s="124"/>
    </row>
    <row r="28" spans="1:22" s="125" customFormat="1" ht="16.899999999999999" customHeight="1" x14ac:dyDescent="0.2">
      <c r="A28" s="546">
        <v>16</v>
      </c>
      <c r="B28" s="547" t="s">
        <v>428</v>
      </c>
      <c r="C28" s="685">
        <f t="shared" si="17"/>
        <v>14412719.699999999</v>
      </c>
      <c r="D28" s="685"/>
      <c r="E28" s="685">
        <f>'57N'!C27-H28</f>
        <v>14412719.699999999</v>
      </c>
      <c r="F28" s="685"/>
      <c r="G28" s="685"/>
      <c r="H28" s="685"/>
      <c r="I28" s="685"/>
      <c r="J28" s="685"/>
      <c r="K28" s="685"/>
      <c r="L28" s="685">
        <f t="shared" si="23"/>
        <v>0</v>
      </c>
      <c r="M28" s="685"/>
      <c r="N28" s="685"/>
      <c r="O28" s="685"/>
      <c r="P28" s="685">
        <f t="shared" si="19"/>
        <v>0</v>
      </c>
      <c r="Q28" s="685"/>
      <c r="R28" s="685"/>
      <c r="S28" s="887"/>
      <c r="T28" s="887"/>
      <c r="U28" s="887"/>
    </row>
    <row r="29" spans="1:22" s="104" customFormat="1" ht="20.100000000000001" customHeight="1" x14ac:dyDescent="0.2">
      <c r="A29" s="307" t="s">
        <v>12</v>
      </c>
      <c r="B29" s="308" t="s">
        <v>276</v>
      </c>
      <c r="C29" s="891">
        <f t="shared" ref="C29:C30" si="24">SUM(D29:F29)</f>
        <v>292610</v>
      </c>
      <c r="D29" s="891"/>
      <c r="E29" s="891">
        <f t="shared" ref="E29:O29" si="25">SUM(E30:E31)</f>
        <v>292610</v>
      </c>
      <c r="F29" s="891">
        <f t="shared" si="25"/>
        <v>0</v>
      </c>
      <c r="G29" s="891">
        <f t="shared" si="25"/>
        <v>0</v>
      </c>
      <c r="H29" s="891">
        <f t="shared" si="25"/>
        <v>0</v>
      </c>
      <c r="I29" s="891">
        <f t="shared" si="25"/>
        <v>228997.34400000001</v>
      </c>
      <c r="J29" s="891">
        <f t="shared" si="25"/>
        <v>0</v>
      </c>
      <c r="K29" s="891">
        <f t="shared" si="25"/>
        <v>228997.34400000001</v>
      </c>
      <c r="L29" s="891">
        <f t="shared" si="25"/>
        <v>0</v>
      </c>
      <c r="M29" s="891">
        <f t="shared" si="25"/>
        <v>0</v>
      </c>
      <c r="N29" s="891">
        <f t="shared" si="25"/>
        <v>0</v>
      </c>
      <c r="O29" s="891">
        <f t="shared" si="25"/>
        <v>0</v>
      </c>
      <c r="P29" s="891"/>
      <c r="Q29" s="891">
        <f>SUM(Q30:Q31)</f>
        <v>0</v>
      </c>
      <c r="R29" s="891"/>
      <c r="S29" s="891"/>
      <c r="T29" s="891"/>
      <c r="U29" s="891"/>
      <c r="V29" s="299"/>
    </row>
    <row r="30" spans="1:22" s="360" customFormat="1" ht="21.75" customHeight="1" x14ac:dyDescent="0.2">
      <c r="A30" s="561">
        <v>1</v>
      </c>
      <c r="B30" s="562" t="s">
        <v>425</v>
      </c>
      <c r="C30" s="117">
        <f t="shared" si="24"/>
        <v>257610</v>
      </c>
      <c r="D30" s="117"/>
      <c r="E30" s="117">
        <f>'57N'!C29</f>
        <v>257610</v>
      </c>
      <c r="F30" s="117"/>
      <c r="G30" s="117"/>
      <c r="H30" s="117"/>
      <c r="I30" s="117">
        <f>SUM(J30:L30,O30)</f>
        <v>193997.34400000001</v>
      </c>
      <c r="J30" s="117"/>
      <c r="K30" s="117">
        <f>'57N'!H29</f>
        <v>193997.34400000001</v>
      </c>
      <c r="L30" s="117"/>
      <c r="M30" s="117"/>
      <c r="N30" s="117"/>
      <c r="O30" s="117"/>
      <c r="P30" s="117"/>
      <c r="Q30" s="117"/>
      <c r="R30" s="117"/>
      <c r="S30" s="117"/>
      <c r="T30" s="117"/>
      <c r="U30" s="117"/>
    </row>
    <row r="31" spans="1:22" s="360" customFormat="1" ht="28.5" customHeight="1" x14ac:dyDescent="0.2">
      <c r="A31" s="564">
        <v>2</v>
      </c>
      <c r="B31" s="565" t="s">
        <v>426</v>
      </c>
      <c r="C31" s="107">
        <f t="shared" ref="C31" si="26">SUM(D31:F31)</f>
        <v>35000</v>
      </c>
      <c r="D31" s="107"/>
      <c r="E31" s="667">
        <f>'57N'!C30</f>
        <v>35000</v>
      </c>
      <c r="F31" s="107"/>
      <c r="G31" s="107"/>
      <c r="H31" s="107"/>
      <c r="I31" s="107">
        <f t="shared" ref="I31" si="27">SUM(J31:L31,O31)</f>
        <v>35000</v>
      </c>
      <c r="J31" s="107"/>
      <c r="K31" s="107">
        <f>'57N'!H30</f>
        <v>35000</v>
      </c>
      <c r="L31" s="107"/>
      <c r="M31" s="107"/>
      <c r="N31" s="107"/>
      <c r="O31" s="107"/>
      <c r="P31" s="107">
        <f>I31/C31%</f>
        <v>100</v>
      </c>
      <c r="Q31" s="107"/>
      <c r="R31" s="107">
        <f>K31/E31%</f>
        <v>100</v>
      </c>
      <c r="S31" s="107"/>
      <c r="T31" s="107"/>
      <c r="U31" s="107"/>
    </row>
    <row r="32" spans="1:22" s="387" customFormat="1" ht="19.899999999999999" customHeight="1" x14ac:dyDescent="0.2">
      <c r="A32" s="382" t="s">
        <v>5</v>
      </c>
      <c r="B32" s="383" t="s">
        <v>208</v>
      </c>
      <c r="C32" s="892">
        <f>SUM(D32:F32)</f>
        <v>2974000</v>
      </c>
      <c r="D32" s="892"/>
      <c r="E32" s="892">
        <v>2974000</v>
      </c>
      <c r="F32" s="892"/>
      <c r="G32" s="892"/>
      <c r="H32" s="892"/>
      <c r="I32" s="892"/>
      <c r="J32" s="892"/>
      <c r="K32" s="892"/>
      <c r="L32" s="892"/>
      <c r="M32" s="892"/>
      <c r="N32" s="892"/>
      <c r="O32" s="892"/>
      <c r="P32" s="892"/>
      <c r="Q32" s="892"/>
      <c r="R32" s="892"/>
      <c r="S32" s="892"/>
      <c r="T32" s="892"/>
      <c r="U32" s="892"/>
    </row>
    <row r="33" spans="1:21" s="284" customFormat="1" ht="28.5" customHeight="1" x14ac:dyDescent="0.2">
      <c r="A33" s="382" t="s">
        <v>42</v>
      </c>
      <c r="B33" s="388" t="s">
        <v>209</v>
      </c>
      <c r="C33" s="892">
        <f>SUM(D33:F33)</f>
        <v>722000</v>
      </c>
      <c r="D33" s="892"/>
      <c r="E33" s="892">
        <v>722000</v>
      </c>
      <c r="F33" s="892"/>
      <c r="G33" s="892"/>
      <c r="H33" s="892"/>
      <c r="I33" s="892"/>
      <c r="J33" s="892"/>
      <c r="K33" s="892"/>
      <c r="L33" s="892"/>
      <c r="M33" s="892"/>
      <c r="N33" s="892"/>
      <c r="O33" s="892"/>
      <c r="P33" s="892"/>
      <c r="Q33" s="892"/>
      <c r="R33" s="892"/>
      <c r="S33" s="892"/>
      <c r="T33" s="892"/>
      <c r="U33" s="892"/>
    </row>
    <row r="34" spans="1:21" s="284" customFormat="1" ht="30" customHeight="1" x14ac:dyDescent="0.2">
      <c r="A34" s="389" t="s">
        <v>64</v>
      </c>
      <c r="B34" s="383" t="s">
        <v>521</v>
      </c>
      <c r="C34" s="892"/>
      <c r="D34" s="892"/>
      <c r="E34" s="892"/>
      <c r="F34" s="892"/>
      <c r="G34" s="892"/>
      <c r="H34" s="892"/>
      <c r="I34" s="891">
        <f>'61'!E54</f>
        <v>50000</v>
      </c>
      <c r="J34" s="892"/>
      <c r="K34" s="892"/>
      <c r="L34" s="892">
        <f>SUM(M34:N34)</f>
        <v>0</v>
      </c>
      <c r="M34" s="892"/>
      <c r="N34" s="892"/>
      <c r="O34" s="892"/>
      <c r="P34" s="892"/>
      <c r="Q34" s="892"/>
      <c r="R34" s="892"/>
      <c r="S34" s="892"/>
      <c r="T34" s="892"/>
      <c r="U34" s="892"/>
    </row>
    <row r="35" spans="1:21" s="284" customFormat="1" ht="35.25" customHeight="1" x14ac:dyDescent="0.2">
      <c r="A35" s="389" t="s">
        <v>269</v>
      </c>
      <c r="B35" s="383" t="s">
        <v>122</v>
      </c>
      <c r="C35" s="892"/>
      <c r="D35" s="892"/>
      <c r="E35" s="892"/>
      <c r="F35" s="892"/>
      <c r="G35" s="892"/>
      <c r="H35" s="892"/>
      <c r="I35" s="384">
        <f>'59'!F18</f>
        <v>104011.51</v>
      </c>
      <c r="J35" s="384"/>
      <c r="K35" s="384"/>
      <c r="L35" s="384">
        <f>SUM(M35:N35)</f>
        <v>0</v>
      </c>
      <c r="M35" s="384"/>
      <c r="N35" s="384"/>
      <c r="O35" s="385"/>
      <c r="P35" s="385"/>
      <c r="Q35" s="385"/>
      <c r="R35" s="385"/>
      <c r="S35" s="386"/>
      <c r="T35" s="386"/>
      <c r="U35" s="386"/>
    </row>
    <row r="36" spans="1:21" s="284" customFormat="1" ht="28.15" customHeight="1" x14ac:dyDescent="0.2">
      <c r="A36" s="382" t="s">
        <v>520</v>
      </c>
      <c r="B36" s="383" t="s">
        <v>210</v>
      </c>
      <c r="C36" s="892"/>
      <c r="D36" s="892"/>
      <c r="E36" s="892"/>
      <c r="F36" s="892"/>
      <c r="G36" s="892"/>
      <c r="H36" s="892"/>
      <c r="I36" s="385">
        <f>'59'!F17</f>
        <v>24187211.725000001</v>
      </c>
      <c r="J36" s="384"/>
      <c r="K36" s="384"/>
      <c r="L36" s="384"/>
      <c r="M36" s="384"/>
      <c r="N36" s="384"/>
      <c r="O36" s="385"/>
      <c r="P36" s="385"/>
      <c r="Q36" s="385"/>
      <c r="R36" s="385"/>
      <c r="S36" s="386"/>
      <c r="T36" s="386"/>
      <c r="U36" s="386"/>
    </row>
    <row r="37" spans="1:21" s="105" customFormat="1" ht="7.15" customHeight="1" x14ac:dyDescent="0.2">
      <c r="A37" s="309"/>
      <c r="B37" s="310"/>
      <c r="C37" s="125"/>
      <c r="D37" s="125"/>
      <c r="E37" s="125"/>
      <c r="F37" s="125"/>
      <c r="G37" s="125"/>
      <c r="H37" s="125"/>
    </row>
    <row r="38" spans="1:21" x14ac:dyDescent="0.25">
      <c r="I38" s="442"/>
    </row>
    <row r="39" spans="1:21" x14ac:dyDescent="0.25">
      <c r="I39" s="442"/>
      <c r="K39" s="108"/>
      <c r="M39" s="108"/>
    </row>
    <row r="40" spans="1:21" x14ac:dyDescent="0.25">
      <c r="I40" s="442"/>
    </row>
    <row r="41" spans="1:21" x14ac:dyDescent="0.25">
      <c r="E41" s="430"/>
      <c r="I41" s="442"/>
    </row>
  </sheetData>
  <mergeCells count="23">
    <mergeCell ref="C6:H6"/>
    <mergeCell ref="P6:U6"/>
    <mergeCell ref="O7:O8"/>
    <mergeCell ref="P7:P8"/>
    <mergeCell ref="Q7:Q8"/>
    <mergeCell ref="R7:R8"/>
    <mergeCell ref="I7:I8"/>
    <mergeCell ref="R1:U1"/>
    <mergeCell ref="R5:U5"/>
    <mergeCell ref="S7:U7"/>
    <mergeCell ref="F7:H7"/>
    <mergeCell ref="J7:J8"/>
    <mergeCell ref="K7:K8"/>
    <mergeCell ref="L7:N7"/>
    <mergeCell ref="A3:U3"/>
    <mergeCell ref="A4:U4"/>
    <mergeCell ref="A1:D1"/>
    <mergeCell ref="A6:A8"/>
    <mergeCell ref="B6:B8"/>
    <mergeCell ref="I6:O6"/>
    <mergeCell ref="C7:C8"/>
    <mergeCell ref="D7:D8"/>
    <mergeCell ref="E7:E8"/>
  </mergeCells>
  <conditionalFormatting sqref="B30:B31">
    <cfRule type="colorScale" priority="1">
      <colorScale>
        <cfvo type="min"/>
        <cfvo type="percentile" val="50"/>
        <cfvo type="max"/>
        <color rgb="FFF8696B"/>
        <color rgb="FFFCFCFF"/>
        <color rgb="FF63BE7B"/>
      </colorScale>
    </cfRule>
  </conditionalFormatting>
  <printOptions horizontalCentered="1"/>
  <pageMargins left="0.24" right="0.17" top="0.28000000000000003" bottom="0.21" header="0.31496062992126" footer="0.2"/>
  <pageSetup paperSize="9" scale="70" firstPageNumber="20" orientation="landscape" useFirstPageNumber="1"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zoomScaleNormal="100" zoomScaleSheetLayoutView="100" workbookViewId="0">
      <selection activeCell="E11" sqref="E11"/>
    </sheetView>
  </sheetViews>
  <sheetFormatPr defaultRowHeight="15" x14ac:dyDescent="0.25"/>
  <cols>
    <col min="1" max="1" width="4.85546875" customWidth="1"/>
    <col min="2" max="2" width="27.85546875" customWidth="1"/>
    <col min="3" max="3" width="11.28515625" customWidth="1"/>
    <col min="4" max="4" width="11.140625" customWidth="1"/>
    <col min="5" max="5" width="12" customWidth="1"/>
    <col min="6" max="6" width="6.42578125" customWidth="1"/>
    <col min="7" max="7" width="6.85546875" customWidth="1"/>
    <col min="8" max="8" width="7.140625" customWidth="1"/>
    <col min="9" max="9" width="6.5703125" customWidth="1"/>
    <col min="10" max="10" width="5.5703125" customWidth="1"/>
    <col min="11" max="11" width="7.5703125" customWidth="1"/>
    <col min="12" max="12" width="6.140625" customWidth="1"/>
    <col min="13" max="13" width="10.7109375" customWidth="1"/>
    <col min="14" max="14" width="9" customWidth="1"/>
    <col min="15" max="15" width="7" style="36" customWidth="1"/>
    <col min="16" max="16" width="7.42578125" style="36" customWidth="1"/>
    <col min="17" max="17" width="5.85546875" customWidth="1"/>
    <col min="18" max="18" width="7" customWidth="1"/>
    <col min="19" max="19" width="6.28515625" customWidth="1"/>
  </cols>
  <sheetData>
    <row r="1" spans="1:22" ht="15.75" x14ac:dyDescent="0.25">
      <c r="A1" s="1795" t="str">
        <f>'48N'!A1</f>
        <v>UBND PHƯỜNG ĐỨC XUÂN</v>
      </c>
      <c r="B1" s="1795"/>
      <c r="Q1" s="1770" t="s">
        <v>547</v>
      </c>
      <c r="R1" s="1770"/>
      <c r="S1" s="1770"/>
    </row>
    <row r="2" spans="1:22" ht="15.75" x14ac:dyDescent="0.25">
      <c r="B2" s="40"/>
      <c r="S2" s="2"/>
      <c r="U2" s="327"/>
    </row>
    <row r="3" spans="1:22" ht="19.899999999999999" customHeight="1" x14ac:dyDescent="0.25">
      <c r="A3" s="1797" t="s">
        <v>484</v>
      </c>
      <c r="B3" s="1797"/>
      <c r="C3" s="1797"/>
      <c r="D3" s="1797"/>
      <c r="E3" s="1797"/>
      <c r="F3" s="1797"/>
      <c r="G3" s="1797"/>
      <c r="H3" s="1797"/>
      <c r="I3" s="1797"/>
      <c r="J3" s="1797"/>
      <c r="K3" s="1797"/>
      <c r="L3" s="1797"/>
      <c r="M3" s="1797"/>
      <c r="N3" s="1797"/>
      <c r="O3" s="1797"/>
      <c r="P3" s="1797"/>
      <c r="Q3" s="1797"/>
      <c r="R3" s="1797"/>
      <c r="S3" s="1797"/>
    </row>
    <row r="4" spans="1:22" ht="19.899999999999999" customHeight="1" x14ac:dyDescent="0.25">
      <c r="A4" s="1796" t="str">
        <f>'48N'!A4:F4</f>
        <v>(Kèm theo Tờ trình số    /TTr-KTHT&amp;ĐT ngày      /4/2026 của phòng KTHT&amp;ĐT phường Đức Xuân)</v>
      </c>
      <c r="B4" s="1796"/>
      <c r="C4" s="1796"/>
      <c r="D4" s="1796"/>
      <c r="E4" s="1796"/>
      <c r="F4" s="1796"/>
      <c r="G4" s="1796"/>
      <c r="H4" s="1796"/>
      <c r="I4" s="1796"/>
      <c r="J4" s="1796"/>
      <c r="K4" s="1796"/>
      <c r="L4" s="1796"/>
      <c r="M4" s="1796"/>
      <c r="N4" s="1796"/>
      <c r="O4" s="1796"/>
      <c r="P4" s="1796"/>
      <c r="Q4" s="1796"/>
      <c r="R4" s="1796"/>
      <c r="S4" s="1796"/>
    </row>
    <row r="5" spans="1:22" ht="33.75" customHeight="1" x14ac:dyDescent="0.25">
      <c r="F5" s="53"/>
      <c r="S5" s="6" t="s">
        <v>427</v>
      </c>
    </row>
    <row r="6" spans="1:22" s="89" customFormat="1" ht="22.5" customHeight="1" x14ac:dyDescent="0.2">
      <c r="A6" s="1793" t="s">
        <v>1</v>
      </c>
      <c r="B6" s="1793" t="s">
        <v>48</v>
      </c>
      <c r="C6" s="1793" t="s">
        <v>362</v>
      </c>
      <c r="D6" s="1793" t="s">
        <v>169</v>
      </c>
      <c r="E6" s="1793" t="s">
        <v>35</v>
      </c>
      <c r="F6" s="1793" t="s">
        <v>68</v>
      </c>
      <c r="G6" s="1793" t="s">
        <v>79</v>
      </c>
      <c r="H6" s="1793" t="s">
        <v>69</v>
      </c>
      <c r="I6" s="1793" t="s">
        <v>70</v>
      </c>
      <c r="J6" s="1794" t="s">
        <v>201</v>
      </c>
      <c r="K6" s="1794" t="s">
        <v>80</v>
      </c>
      <c r="L6" s="1794" t="s">
        <v>71</v>
      </c>
      <c r="M6" s="1793" t="s">
        <v>81</v>
      </c>
      <c r="N6" s="1793" t="s">
        <v>43</v>
      </c>
      <c r="O6" s="1793"/>
      <c r="P6" s="1794" t="s">
        <v>202</v>
      </c>
      <c r="Q6" s="1793" t="s">
        <v>28</v>
      </c>
      <c r="R6" s="1793" t="s">
        <v>203</v>
      </c>
      <c r="S6" s="1793" t="s">
        <v>183</v>
      </c>
    </row>
    <row r="7" spans="1:22" s="89" customFormat="1" ht="87.75" customHeight="1" x14ac:dyDescent="0.2">
      <c r="A7" s="1793"/>
      <c r="B7" s="1793"/>
      <c r="C7" s="1793"/>
      <c r="D7" s="1793"/>
      <c r="E7" s="1793"/>
      <c r="F7" s="1793"/>
      <c r="G7" s="1793"/>
      <c r="H7" s="1793"/>
      <c r="I7" s="1793"/>
      <c r="J7" s="1794"/>
      <c r="K7" s="1794"/>
      <c r="L7" s="1794"/>
      <c r="M7" s="1793"/>
      <c r="N7" s="1507" t="s">
        <v>211</v>
      </c>
      <c r="O7" s="1508" t="s">
        <v>212</v>
      </c>
      <c r="P7" s="1794"/>
      <c r="Q7" s="1793"/>
      <c r="R7" s="1793"/>
      <c r="S7" s="1793"/>
    </row>
    <row r="8" spans="1:22" s="1513" customFormat="1" ht="20.25" customHeight="1" x14ac:dyDescent="0.2">
      <c r="A8" s="1512" t="s">
        <v>4</v>
      </c>
      <c r="B8" s="1512" t="s">
        <v>5</v>
      </c>
      <c r="C8" s="1512">
        <v>1</v>
      </c>
      <c r="D8" s="1512">
        <v>2</v>
      </c>
      <c r="E8" s="1512">
        <v>3</v>
      </c>
      <c r="F8" s="1512">
        <v>4</v>
      </c>
      <c r="G8" s="1512">
        <v>5</v>
      </c>
      <c r="H8" s="1512">
        <v>6</v>
      </c>
      <c r="I8" s="1512">
        <v>7</v>
      </c>
      <c r="J8" s="1512">
        <v>8</v>
      </c>
      <c r="K8" s="1512">
        <v>9</v>
      </c>
      <c r="L8" s="1512">
        <v>10</v>
      </c>
      <c r="M8" s="1512">
        <v>11</v>
      </c>
      <c r="N8" s="1512">
        <v>12</v>
      </c>
      <c r="O8" s="1512">
        <v>13</v>
      </c>
      <c r="P8" s="1512">
        <v>14</v>
      </c>
      <c r="Q8" s="1512">
        <v>15</v>
      </c>
      <c r="R8" s="1512">
        <v>16</v>
      </c>
      <c r="S8" s="1512" t="s">
        <v>331</v>
      </c>
    </row>
    <row r="9" spans="1:22" s="9" customFormat="1" ht="23.25" customHeight="1" x14ac:dyDescent="0.2">
      <c r="A9" s="1509"/>
      <c r="B9" s="1509" t="s">
        <v>31</v>
      </c>
      <c r="C9" s="909">
        <f>C10+C13</f>
        <v>13206200</v>
      </c>
      <c r="D9" s="909">
        <f t="shared" ref="D9:N9" si="0">D10+D13</f>
        <v>16392012.588</v>
      </c>
      <c r="E9" s="909">
        <f t="shared" si="0"/>
        <v>11740943.977</v>
      </c>
      <c r="F9" s="909"/>
      <c r="G9" s="909"/>
      <c r="H9" s="909"/>
      <c r="I9" s="909"/>
      <c r="J9" s="909"/>
      <c r="K9" s="909"/>
      <c r="L9" s="909"/>
      <c r="M9" s="909">
        <f t="shared" si="0"/>
        <v>4651068.6109999996</v>
      </c>
      <c r="N9" s="909">
        <f t="shared" si="0"/>
        <v>715781.89500000002</v>
      </c>
      <c r="O9" s="909"/>
      <c r="P9" s="909"/>
      <c r="Q9" s="909"/>
      <c r="R9" s="909"/>
      <c r="S9" s="1510">
        <f>D9/C9%</f>
        <v>124.12361306053216</v>
      </c>
      <c r="T9" s="85"/>
      <c r="U9" s="85"/>
      <c r="V9" s="85"/>
    </row>
    <row r="10" spans="1:22" s="9" customFormat="1" ht="23.25" customHeight="1" x14ac:dyDescent="0.2">
      <c r="A10" s="1509" t="s">
        <v>6</v>
      </c>
      <c r="B10" s="1511" t="s">
        <v>78</v>
      </c>
      <c r="C10" s="909">
        <f>SUM(C11:C12)</f>
        <v>13206200</v>
      </c>
      <c r="D10" s="909">
        <f t="shared" ref="D10:N10" si="1">SUM(D11:D12)</f>
        <v>14910012.588</v>
      </c>
      <c r="E10" s="909">
        <f t="shared" si="1"/>
        <v>11740943.977</v>
      </c>
      <c r="F10" s="909"/>
      <c r="G10" s="909"/>
      <c r="H10" s="909"/>
      <c r="I10" s="909"/>
      <c r="J10" s="909"/>
      <c r="K10" s="909"/>
      <c r="L10" s="909"/>
      <c r="M10" s="909">
        <f t="shared" si="1"/>
        <v>3169068.611</v>
      </c>
      <c r="N10" s="909">
        <f t="shared" si="1"/>
        <v>715781.89500000002</v>
      </c>
      <c r="O10" s="909"/>
      <c r="P10" s="909"/>
      <c r="Q10" s="909"/>
      <c r="R10" s="909"/>
      <c r="S10" s="1510"/>
      <c r="T10" s="85"/>
      <c r="U10" s="85"/>
      <c r="V10" s="85"/>
    </row>
    <row r="11" spans="1:22" s="1" customFormat="1" ht="23.25" customHeight="1" x14ac:dyDescent="0.25">
      <c r="A11" s="151">
        <v>1</v>
      </c>
      <c r="B11" s="911" t="s">
        <v>413</v>
      </c>
      <c r="C11" s="912">
        <v>10486200</v>
      </c>
      <c r="D11" s="913">
        <f>SUM(E11:M11,P11:R11)</f>
        <v>12220600.319</v>
      </c>
      <c r="E11" s="913">
        <f>5910875.5+3140656.208</f>
        <v>9051531.7080000006</v>
      </c>
      <c r="F11" s="913"/>
      <c r="G11" s="913"/>
      <c r="H11" s="913"/>
      <c r="I11" s="913"/>
      <c r="J11" s="913"/>
      <c r="K11" s="913"/>
      <c r="L11" s="913"/>
      <c r="M11" s="913">
        <f>1402017+1658700+47386.716+60964.895</f>
        <v>3169068.611</v>
      </c>
      <c r="N11" s="913">
        <f>654817+60964.895</f>
        <v>715781.89500000002</v>
      </c>
      <c r="O11" s="913"/>
      <c r="P11" s="913"/>
      <c r="Q11" s="913"/>
      <c r="R11" s="913"/>
      <c r="S11" s="914">
        <f>D11/C11%</f>
        <v>116.53983634681772</v>
      </c>
      <c r="T11" s="52"/>
    </row>
    <row r="12" spans="1:22" s="1" customFormat="1" ht="23.25" customHeight="1" x14ac:dyDescent="0.25">
      <c r="A12" s="151">
        <v>2</v>
      </c>
      <c r="B12" s="911" t="s">
        <v>418</v>
      </c>
      <c r="C12" s="912">
        <v>2720000</v>
      </c>
      <c r="D12" s="913">
        <f>SUM(E12:M12,P12:R12)</f>
        <v>2689412.2689999999</v>
      </c>
      <c r="E12" s="913">
        <v>2689412.2689999999</v>
      </c>
      <c r="F12" s="913"/>
      <c r="G12" s="913"/>
      <c r="H12" s="913"/>
      <c r="I12" s="913"/>
      <c r="J12" s="913"/>
      <c r="K12" s="913"/>
      <c r="L12" s="913"/>
      <c r="M12" s="913"/>
      <c r="N12" s="913"/>
      <c r="O12" s="913"/>
      <c r="P12" s="913"/>
      <c r="Q12" s="913"/>
      <c r="R12" s="913"/>
      <c r="S12" s="914">
        <f>D12/C12%</f>
        <v>98.875451066176467</v>
      </c>
      <c r="V12" s="66"/>
    </row>
    <row r="13" spans="1:22" s="9" customFormat="1" ht="23.25" customHeight="1" x14ac:dyDescent="0.2">
      <c r="A13" s="1509" t="s">
        <v>12</v>
      </c>
      <c r="B13" s="1511" t="s">
        <v>27</v>
      </c>
      <c r="C13" s="909"/>
      <c r="D13" s="909">
        <f t="shared" ref="D13:M13" si="2">SUM(D14)</f>
        <v>1482000</v>
      </c>
      <c r="E13" s="909"/>
      <c r="F13" s="909"/>
      <c r="G13" s="909"/>
      <c r="H13" s="909"/>
      <c r="I13" s="909"/>
      <c r="J13" s="909"/>
      <c r="K13" s="909"/>
      <c r="L13" s="909"/>
      <c r="M13" s="909">
        <f t="shared" si="2"/>
        <v>1482000</v>
      </c>
      <c r="N13" s="909"/>
      <c r="O13" s="909"/>
      <c r="P13" s="909"/>
      <c r="Q13" s="909"/>
      <c r="R13" s="909"/>
      <c r="S13" s="1510"/>
      <c r="T13" s="85"/>
      <c r="U13" s="85"/>
      <c r="V13" s="85"/>
    </row>
    <row r="14" spans="1:22" s="1" customFormat="1" ht="23.25" customHeight="1" x14ac:dyDescent="0.25">
      <c r="A14" s="151">
        <v>1</v>
      </c>
      <c r="B14" s="911" t="s">
        <v>413</v>
      </c>
      <c r="C14" s="912"/>
      <c r="D14" s="913">
        <f>SUM(E14:M14,P14:R14)</f>
        <v>1482000</v>
      </c>
      <c r="E14" s="913"/>
      <c r="F14" s="913"/>
      <c r="G14" s="913"/>
      <c r="H14" s="913"/>
      <c r="I14" s="913"/>
      <c r="J14" s="913"/>
      <c r="K14" s="913"/>
      <c r="L14" s="913"/>
      <c r="M14" s="913">
        <v>1482000</v>
      </c>
      <c r="N14" s="913"/>
      <c r="O14" s="913"/>
      <c r="P14" s="913"/>
      <c r="Q14" s="913"/>
      <c r="R14" s="913"/>
      <c r="S14" s="914"/>
      <c r="T14" s="52"/>
    </row>
    <row r="15" spans="1:22" s="1" customFormat="1" ht="23.25" customHeight="1" x14ac:dyDescent="0.25">
      <c r="A15" s="330"/>
      <c r="B15" s="331"/>
      <c r="C15" s="228"/>
      <c r="D15" s="228"/>
      <c r="E15" s="228"/>
      <c r="F15" s="228"/>
      <c r="G15" s="228"/>
      <c r="H15" s="228"/>
      <c r="I15" s="228"/>
      <c r="J15" s="228"/>
      <c r="K15" s="228"/>
      <c r="L15" s="228"/>
      <c r="M15" s="228"/>
      <c r="N15" s="228"/>
      <c r="O15" s="228"/>
      <c r="P15" s="228"/>
      <c r="Q15" s="228"/>
      <c r="R15" s="228"/>
      <c r="S15" s="332"/>
    </row>
    <row r="16" spans="1:22" x14ac:dyDescent="0.25">
      <c r="B16" s="226"/>
      <c r="C16" s="226"/>
      <c r="D16" s="226"/>
      <c r="E16" s="227"/>
      <c r="F16" s="226"/>
      <c r="G16" s="226"/>
      <c r="H16" s="226"/>
    </row>
    <row r="17" spans="2:13" x14ac:dyDescent="0.25">
      <c r="B17" s="226"/>
      <c r="C17" s="227"/>
      <c r="D17" s="228"/>
      <c r="E17" s="228"/>
      <c r="F17" s="227"/>
      <c r="G17" s="226"/>
      <c r="H17" s="226"/>
    </row>
    <row r="18" spans="2:13" x14ac:dyDescent="0.25">
      <c r="B18" s="226"/>
      <c r="C18" s="227"/>
      <c r="D18" s="227"/>
      <c r="E18" s="226"/>
      <c r="F18" s="226"/>
      <c r="G18" s="226"/>
      <c r="H18" s="227"/>
      <c r="M18" s="53"/>
    </row>
    <row r="19" spans="2:13" x14ac:dyDescent="0.25">
      <c r="G19" s="53"/>
      <c r="H19" s="53"/>
    </row>
  </sheetData>
  <mergeCells count="22">
    <mergeCell ref="A1:B1"/>
    <mergeCell ref="A4:S4"/>
    <mergeCell ref="K6:K7"/>
    <mergeCell ref="J6:J7"/>
    <mergeCell ref="P6:P7"/>
    <mergeCell ref="A3:S3"/>
    <mergeCell ref="A6:A7"/>
    <mergeCell ref="B6:B7"/>
    <mergeCell ref="C6:C7"/>
    <mergeCell ref="D6:D7"/>
    <mergeCell ref="E6:E7"/>
    <mergeCell ref="F6:F7"/>
    <mergeCell ref="G6:G7"/>
    <mergeCell ref="H6:H7"/>
    <mergeCell ref="I6:I7"/>
    <mergeCell ref="Q6:Q7"/>
    <mergeCell ref="Q1:S1"/>
    <mergeCell ref="S6:S7"/>
    <mergeCell ref="N6:O6"/>
    <mergeCell ref="M6:M7"/>
    <mergeCell ref="L6:L7"/>
    <mergeCell ref="R6:R7"/>
  </mergeCells>
  <printOptions horizontalCentered="1"/>
  <pageMargins left="0.31496062992126" right="0.43307086614173201" top="0.78740157480314998" bottom="0.78740157480314998" header="0.43307086614173201" footer="0.31496062992126"/>
  <pageSetup paperSize="9" scale="85" firstPageNumber="23"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zoomScaleSheetLayoutView="100" workbookViewId="0">
      <pane xSplit="2" ySplit="7" topLeftCell="C20" activePane="bottomRight" state="frozen"/>
      <selection pane="topRight" activeCell="C1" sqref="C1"/>
      <selection pane="bottomLeft" activeCell="A9" sqref="A9"/>
      <selection pane="bottomRight" activeCell="P8" sqref="P8"/>
    </sheetView>
  </sheetViews>
  <sheetFormatPr defaultColWidth="9.140625" defaultRowHeight="15" x14ac:dyDescent="0.25"/>
  <cols>
    <col min="1" max="1" width="5.7109375" style="328" customWidth="1"/>
    <col min="2" max="2" width="28.7109375" style="538" customWidth="1"/>
    <col min="3" max="3" width="13.85546875" style="328" customWidth="1"/>
    <col min="4" max="4" width="11.85546875" style="328" customWidth="1"/>
    <col min="5" max="5" width="11.140625" style="328" customWidth="1"/>
    <col min="6" max="6" width="10.140625" style="328" customWidth="1"/>
    <col min="7" max="7" width="9.5703125" style="328" customWidth="1"/>
    <col min="8" max="8" width="7.7109375" style="328" customWidth="1"/>
    <col min="9" max="9" width="8.5703125" style="328" customWidth="1"/>
    <col min="10" max="10" width="7.7109375" style="328" customWidth="1"/>
    <col min="11" max="11" width="9" style="328" customWidth="1"/>
    <col min="12" max="12" width="7.28515625" style="328" customWidth="1"/>
    <col min="13" max="13" width="10.28515625" style="328" customWidth="1"/>
    <col min="14" max="14" width="9.28515625" style="328" customWidth="1"/>
    <col min="15" max="15" width="9" style="424" customWidth="1"/>
    <col min="16" max="16" width="11.5703125" style="425" customWidth="1"/>
    <col min="17" max="17" width="10.7109375" style="328" customWidth="1"/>
    <col min="18" max="18" width="8.85546875" style="426" customWidth="1"/>
    <col min="19" max="19" width="7.5703125" style="328" customWidth="1"/>
    <col min="20" max="20" width="9.140625" style="328"/>
    <col min="21" max="21" width="14.140625" style="328" customWidth="1"/>
    <col min="22" max="24" width="9.140625" style="328"/>
    <col min="25" max="25" width="10.42578125" style="328" bestFit="1" customWidth="1"/>
    <col min="26" max="16384" width="9.140625" style="328"/>
  </cols>
  <sheetData>
    <row r="1" spans="1:25" s="428" customFormat="1" ht="15.75" customHeight="1" x14ac:dyDescent="0.25">
      <c r="A1" s="1801" t="str">
        <f>'48N'!A1</f>
        <v>UBND PHƯỜNG ĐỨC XUÂN</v>
      </c>
      <c r="B1" s="1801"/>
      <c r="C1" s="1801"/>
      <c r="D1" s="1801"/>
      <c r="O1" s="445"/>
      <c r="P1" s="449"/>
      <c r="Q1" s="1799" t="s">
        <v>410</v>
      </c>
      <c r="R1" s="1799"/>
      <c r="S1" s="1799"/>
    </row>
    <row r="2" spans="1:25" s="428" customFormat="1" ht="18.600000000000001" customHeight="1" x14ac:dyDescent="0.25">
      <c r="A2" s="1804" t="s">
        <v>411</v>
      </c>
      <c r="B2" s="1804"/>
      <c r="C2" s="1804"/>
      <c r="D2" s="1804"/>
      <c r="E2" s="1804"/>
      <c r="F2" s="1804"/>
      <c r="G2" s="1804"/>
      <c r="H2" s="1804"/>
      <c r="I2" s="1804"/>
      <c r="J2" s="1804"/>
      <c r="K2" s="1804"/>
      <c r="L2" s="1804"/>
      <c r="M2" s="1804"/>
      <c r="N2" s="1804"/>
      <c r="O2" s="1804"/>
      <c r="P2" s="1804"/>
      <c r="Q2" s="1804"/>
      <c r="R2" s="1804"/>
      <c r="S2" s="1804"/>
    </row>
    <row r="3" spans="1:25" s="428" customFormat="1" ht="17.45" customHeight="1" x14ac:dyDescent="0.25">
      <c r="A3" s="1800" t="str">
        <f>'48N'!A4:F4</f>
        <v>(Kèm theo Tờ trình số    /TTr-KTHT&amp;ĐT ngày      /4/2026 của phòng KTHT&amp;ĐT phường Đức Xuân)</v>
      </c>
      <c r="B3" s="1800"/>
      <c r="C3" s="1800"/>
      <c r="D3" s="1800"/>
      <c r="E3" s="1800"/>
      <c r="F3" s="1800"/>
      <c r="G3" s="1800"/>
      <c r="H3" s="1800"/>
      <c r="I3" s="1800"/>
      <c r="J3" s="1800"/>
      <c r="K3" s="1800"/>
      <c r="L3" s="1800"/>
      <c r="M3" s="1800"/>
      <c r="N3" s="1800"/>
      <c r="O3" s="1800"/>
      <c r="P3" s="1800"/>
      <c r="Q3" s="1800"/>
      <c r="R3" s="1800"/>
      <c r="S3" s="1800"/>
    </row>
    <row r="4" spans="1:25" s="428" customFormat="1" ht="15.75" x14ac:dyDescent="0.25">
      <c r="B4" s="539"/>
      <c r="C4" s="540"/>
      <c r="D4" s="541"/>
      <c r="E4" s="540"/>
      <c r="F4" s="541"/>
      <c r="G4" s="542"/>
      <c r="I4" s="541"/>
      <c r="O4" s="445"/>
      <c r="P4" s="449"/>
      <c r="R4" s="543"/>
      <c r="S4" s="544" t="s">
        <v>427</v>
      </c>
    </row>
    <row r="5" spans="1:25" s="445" customFormat="1" ht="22.5" customHeight="1" x14ac:dyDescent="0.2">
      <c r="A5" s="1798" t="s">
        <v>1</v>
      </c>
      <c r="B5" s="1805" t="s">
        <v>48</v>
      </c>
      <c r="C5" s="1798" t="s">
        <v>3</v>
      </c>
      <c r="D5" s="1798" t="s">
        <v>169</v>
      </c>
      <c r="E5" s="1798" t="s">
        <v>35</v>
      </c>
      <c r="F5" s="1798" t="s">
        <v>68</v>
      </c>
      <c r="G5" s="1798" t="s">
        <v>79</v>
      </c>
      <c r="H5" s="1798" t="s">
        <v>69</v>
      </c>
      <c r="I5" s="1798" t="s">
        <v>70</v>
      </c>
      <c r="J5" s="1798" t="s">
        <v>201</v>
      </c>
      <c r="K5" s="1798" t="s">
        <v>80</v>
      </c>
      <c r="L5" s="1798" t="s">
        <v>71</v>
      </c>
      <c r="M5" s="1798" t="s">
        <v>81</v>
      </c>
      <c r="N5" s="1798" t="s">
        <v>43</v>
      </c>
      <c r="O5" s="1798"/>
      <c r="P5" s="1803" t="s">
        <v>202</v>
      </c>
      <c r="Q5" s="1798" t="s">
        <v>28</v>
      </c>
      <c r="R5" s="1802" t="s">
        <v>82</v>
      </c>
      <c r="S5" s="1798" t="s">
        <v>183</v>
      </c>
    </row>
    <row r="6" spans="1:25" s="445" customFormat="1" ht="69" customHeight="1" x14ac:dyDescent="0.2">
      <c r="A6" s="1798"/>
      <c r="B6" s="1806"/>
      <c r="C6" s="1798"/>
      <c r="D6" s="1798"/>
      <c r="E6" s="1798"/>
      <c r="F6" s="1798"/>
      <c r="G6" s="1798"/>
      <c r="H6" s="1798"/>
      <c r="I6" s="1798"/>
      <c r="J6" s="1798"/>
      <c r="K6" s="1798"/>
      <c r="L6" s="1798"/>
      <c r="M6" s="1798"/>
      <c r="N6" s="545" t="s">
        <v>211</v>
      </c>
      <c r="O6" s="545" t="s">
        <v>212</v>
      </c>
      <c r="P6" s="1803"/>
      <c r="Q6" s="1798"/>
      <c r="R6" s="1802"/>
      <c r="S6" s="1798"/>
    </row>
    <row r="7" spans="1:25" s="569" customFormat="1" ht="18" customHeight="1" x14ac:dyDescent="0.2">
      <c r="A7" s="567" t="s">
        <v>4</v>
      </c>
      <c r="B7" s="567" t="s">
        <v>5</v>
      </c>
      <c r="C7" s="567">
        <v>1</v>
      </c>
      <c r="D7" s="567">
        <v>2</v>
      </c>
      <c r="E7" s="567">
        <v>3</v>
      </c>
      <c r="F7" s="567">
        <v>4</v>
      </c>
      <c r="G7" s="567">
        <v>5</v>
      </c>
      <c r="H7" s="567">
        <v>6</v>
      </c>
      <c r="I7" s="567">
        <v>7</v>
      </c>
      <c r="J7" s="567">
        <v>8</v>
      </c>
      <c r="K7" s="567">
        <v>9</v>
      </c>
      <c r="L7" s="567">
        <v>10</v>
      </c>
      <c r="M7" s="567">
        <v>11</v>
      </c>
      <c r="N7" s="567">
        <v>12</v>
      </c>
      <c r="O7" s="567">
        <v>13</v>
      </c>
      <c r="P7" s="568">
        <v>14</v>
      </c>
      <c r="Q7" s="567">
        <v>15</v>
      </c>
      <c r="R7" s="568">
        <v>16</v>
      </c>
      <c r="S7" s="567" t="s">
        <v>268</v>
      </c>
    </row>
    <row r="8" spans="1:25" s="550" customFormat="1" ht="21" customHeight="1" x14ac:dyDescent="0.25">
      <c r="A8" s="576"/>
      <c r="B8" s="581" t="s">
        <v>31</v>
      </c>
      <c r="C8" s="578">
        <f>C9+C26</f>
        <v>118350999.96600001</v>
      </c>
      <c r="D8" s="578">
        <f t="shared" ref="D8:R8" si="0">D9+D26</f>
        <v>137912348.91400003</v>
      </c>
      <c r="E8" s="578">
        <f t="shared" si="0"/>
        <v>75608229.204999998</v>
      </c>
      <c r="F8" s="578">
        <f t="shared" si="0"/>
        <v>1477056.682</v>
      </c>
      <c r="G8" s="578">
        <f t="shared" si="0"/>
        <v>641445</v>
      </c>
      <c r="H8" s="578">
        <f t="shared" si="0"/>
        <v>0</v>
      </c>
      <c r="I8" s="578">
        <f t="shared" si="0"/>
        <v>708894.19699999993</v>
      </c>
      <c r="J8" s="578">
        <f t="shared" si="0"/>
        <v>84375.793000000005</v>
      </c>
      <c r="K8" s="578">
        <f t="shared" si="0"/>
        <v>307750</v>
      </c>
      <c r="L8" s="578">
        <f t="shared" si="0"/>
        <v>0</v>
      </c>
      <c r="M8" s="578">
        <f t="shared" si="0"/>
        <v>2951918.4070000001</v>
      </c>
      <c r="N8" s="578">
        <f t="shared" si="0"/>
        <v>0</v>
      </c>
      <c r="O8" s="578">
        <f t="shared" si="0"/>
        <v>554486.81900000002</v>
      </c>
      <c r="P8" s="578">
        <f>P9+P26</f>
        <v>49353481.030000001</v>
      </c>
      <c r="Q8" s="578">
        <f t="shared" si="0"/>
        <v>6716588.5999999996</v>
      </c>
      <c r="R8" s="578">
        <f t="shared" si="0"/>
        <v>62610</v>
      </c>
      <c r="S8" s="579">
        <f>D8/C8</f>
        <v>1.1652824982773244</v>
      </c>
    </row>
    <row r="9" spans="1:25" s="550" customFormat="1" ht="21.75" customHeight="1" x14ac:dyDescent="0.25">
      <c r="A9" s="576" t="s">
        <v>6</v>
      </c>
      <c r="B9" s="577" t="s">
        <v>274</v>
      </c>
      <c r="C9" s="578">
        <f>SUM(C10:C25)</f>
        <v>118120999.96600001</v>
      </c>
      <c r="D9" s="578">
        <f t="shared" ref="D9:R9" si="1">SUM(D10:D25)</f>
        <v>137683351.57000002</v>
      </c>
      <c r="E9" s="578">
        <f t="shared" si="1"/>
        <v>75608229.204999998</v>
      </c>
      <c r="F9" s="578">
        <f t="shared" si="1"/>
        <v>1477056.682</v>
      </c>
      <c r="G9" s="578">
        <f t="shared" si="1"/>
        <v>641445</v>
      </c>
      <c r="H9" s="578">
        <f t="shared" si="1"/>
        <v>0</v>
      </c>
      <c r="I9" s="578">
        <f t="shared" si="1"/>
        <v>708894.19699999993</v>
      </c>
      <c r="J9" s="578">
        <f t="shared" si="1"/>
        <v>84375.793000000005</v>
      </c>
      <c r="K9" s="578">
        <f t="shared" si="1"/>
        <v>307750</v>
      </c>
      <c r="L9" s="578">
        <f t="shared" si="1"/>
        <v>0</v>
      </c>
      <c r="M9" s="578">
        <f t="shared" si="1"/>
        <v>2951918.4070000001</v>
      </c>
      <c r="N9" s="578">
        <f t="shared" si="1"/>
        <v>0</v>
      </c>
      <c r="O9" s="578">
        <f t="shared" si="1"/>
        <v>554486.81900000002</v>
      </c>
      <c r="P9" s="578">
        <f>SUM(P10:P25)</f>
        <v>49187093.686000004</v>
      </c>
      <c r="Q9" s="578">
        <f t="shared" si="1"/>
        <v>6716588.5999999996</v>
      </c>
      <c r="R9" s="578">
        <f t="shared" si="1"/>
        <v>0</v>
      </c>
      <c r="S9" s="579">
        <f>D9/C9</f>
        <v>1.1656128174467779</v>
      </c>
      <c r="T9" s="551"/>
      <c r="U9" s="551"/>
      <c r="Y9" s="580"/>
    </row>
    <row r="10" spans="1:25" s="550" customFormat="1" ht="21" customHeight="1" x14ac:dyDescent="0.25">
      <c r="A10" s="552">
        <v>1</v>
      </c>
      <c r="B10" s="208" t="s">
        <v>409</v>
      </c>
      <c r="C10" s="553">
        <f>'57N'!E12</f>
        <v>6113800</v>
      </c>
      <c r="D10" s="554">
        <f>SUM(E10:M10,P10:R10)</f>
        <v>6567114.243999999</v>
      </c>
      <c r="E10" s="554"/>
      <c r="F10" s="554">
        <v>597777.68999999994</v>
      </c>
      <c r="G10" s="554">
        <v>321965</v>
      </c>
      <c r="H10" s="554"/>
      <c r="I10" s="554">
        <v>20000</v>
      </c>
      <c r="J10" s="554"/>
      <c r="K10" s="554"/>
      <c r="L10" s="554"/>
      <c r="M10" s="554"/>
      <c r="N10" s="554"/>
      <c r="O10" s="554"/>
      <c r="P10" s="554">
        <v>5627371.5539999995</v>
      </c>
      <c r="Q10" s="554"/>
      <c r="R10" s="554"/>
      <c r="S10" s="570">
        <f>D10/C10</f>
        <v>1.0741460702018384</v>
      </c>
    </row>
    <row r="11" spans="1:25" s="550" customFormat="1" ht="21" customHeight="1" x14ac:dyDescent="0.25">
      <c r="A11" s="555">
        <v>2</v>
      </c>
      <c r="B11" s="556" t="s">
        <v>413</v>
      </c>
      <c r="C11" s="557">
        <f>'57N'!E13</f>
        <v>14231961.266000001</v>
      </c>
      <c r="D11" s="558">
        <f t="shared" ref="D11:D23" si="2">SUM(E11:M11,P11:R11)</f>
        <v>14372622.262000002</v>
      </c>
      <c r="E11" s="558"/>
      <c r="F11" s="558">
        <v>879278.99199999997</v>
      </c>
      <c r="G11" s="558">
        <v>319480</v>
      </c>
      <c r="H11" s="558"/>
      <c r="I11" s="558">
        <f>60960.92+41000</f>
        <v>101960.92</v>
      </c>
      <c r="J11" s="558">
        <v>14941.1</v>
      </c>
      <c r="K11" s="558">
        <v>16335</v>
      </c>
      <c r="L11" s="558"/>
      <c r="M11" s="558">
        <f>111053.7+4850+370349+1630420-1482000</f>
        <v>634672.70000000019</v>
      </c>
      <c r="N11" s="558"/>
      <c r="O11" s="558">
        <v>111053.7</v>
      </c>
      <c r="P11" s="558">
        <f>9636519.705+1018307.515+1188747.93+347584.9</f>
        <v>12191160.050000001</v>
      </c>
      <c r="Q11" s="558">
        <f>150053.7+64739.8</f>
        <v>214793.5</v>
      </c>
      <c r="R11" s="558"/>
      <c r="S11" s="571">
        <f>D11/C11</f>
        <v>1.0098834583210987</v>
      </c>
    </row>
    <row r="12" spans="1:25" s="550" customFormat="1" ht="21" customHeight="1" x14ac:dyDescent="0.25">
      <c r="A12" s="559">
        <v>3</v>
      </c>
      <c r="B12" s="560" t="s">
        <v>414</v>
      </c>
      <c r="C12" s="557">
        <f>'57N'!E14</f>
        <v>5140500</v>
      </c>
      <c r="D12" s="558">
        <f t="shared" si="2"/>
        <v>19412769.163999997</v>
      </c>
      <c r="E12" s="558">
        <f>278360+24995.154</f>
        <v>303355.15399999998</v>
      </c>
      <c r="F12" s="558"/>
      <c r="G12" s="558"/>
      <c r="H12" s="558"/>
      <c r="I12" s="558">
        <v>14998.888000000001</v>
      </c>
      <c r="J12" s="558"/>
      <c r="K12" s="558">
        <v>206415</v>
      </c>
      <c r="L12" s="558"/>
      <c r="M12" s="558"/>
      <c r="N12" s="558"/>
      <c r="O12" s="558"/>
      <c r="P12" s="558">
        <f>12342205.022+66000</f>
        <v>12408205.022</v>
      </c>
      <c r="Q12" s="558">
        <f>215757.8+116000+6148037.3</f>
        <v>6479795.0999999996</v>
      </c>
      <c r="R12" s="558"/>
      <c r="S12" s="571">
        <f t="shared" ref="S12:S25" si="3">D12/C12</f>
        <v>3.7764359817138407</v>
      </c>
      <c r="U12" s="551"/>
    </row>
    <row r="13" spans="1:25" s="550" customFormat="1" ht="21" customHeight="1" x14ac:dyDescent="0.25">
      <c r="A13" s="555">
        <v>4</v>
      </c>
      <c r="B13" s="560" t="s">
        <v>415</v>
      </c>
      <c r="C13" s="557">
        <f>'57N'!E15</f>
        <v>5008700</v>
      </c>
      <c r="D13" s="558">
        <f t="shared" si="2"/>
        <v>7047041.8210000005</v>
      </c>
      <c r="E13" s="558"/>
      <c r="F13" s="558"/>
      <c r="G13" s="558"/>
      <c r="H13" s="558"/>
      <c r="I13" s="558"/>
      <c r="J13" s="558"/>
      <c r="K13" s="558"/>
      <c r="L13" s="558"/>
      <c r="M13" s="558"/>
      <c r="N13" s="558"/>
      <c r="O13" s="558"/>
      <c r="P13" s="558">
        <v>7047041.8210000005</v>
      </c>
      <c r="Q13" s="558"/>
      <c r="R13" s="558"/>
      <c r="S13" s="571">
        <f t="shared" si="3"/>
        <v>1.4069602533591552</v>
      </c>
    </row>
    <row r="14" spans="1:25" s="550" customFormat="1" ht="21" customHeight="1" x14ac:dyDescent="0.25">
      <c r="A14" s="559">
        <v>5</v>
      </c>
      <c r="B14" s="556" t="s">
        <v>416</v>
      </c>
      <c r="C14" s="557">
        <f>'57N'!E16</f>
        <v>2862500</v>
      </c>
      <c r="D14" s="558">
        <f t="shared" si="2"/>
        <v>6174135.159</v>
      </c>
      <c r="E14" s="558"/>
      <c r="F14" s="558"/>
      <c r="G14" s="558"/>
      <c r="H14" s="558"/>
      <c r="I14" s="558"/>
      <c r="J14" s="558"/>
      <c r="K14" s="558"/>
      <c r="L14" s="558"/>
      <c r="M14" s="558"/>
      <c r="N14" s="558"/>
      <c r="O14" s="558"/>
      <c r="P14" s="558">
        <v>6152135.159</v>
      </c>
      <c r="Q14" s="558">
        <v>22000</v>
      </c>
      <c r="R14" s="558"/>
      <c r="S14" s="571">
        <f t="shared" si="3"/>
        <v>2.1569031123144105</v>
      </c>
      <c r="U14" s="584"/>
    </row>
    <row r="15" spans="1:25" s="550" customFormat="1" ht="21" customHeight="1" x14ac:dyDescent="0.25">
      <c r="A15" s="555">
        <v>6</v>
      </c>
      <c r="B15" s="560" t="s">
        <v>417</v>
      </c>
      <c r="C15" s="557">
        <f>'57N'!E17</f>
        <v>387600</v>
      </c>
      <c r="D15" s="558">
        <f t="shared" si="2"/>
        <v>620201.92000000004</v>
      </c>
      <c r="E15" s="558"/>
      <c r="F15" s="558"/>
      <c r="G15" s="558"/>
      <c r="H15" s="558"/>
      <c r="I15" s="558"/>
      <c r="J15" s="558"/>
      <c r="K15" s="558"/>
      <c r="L15" s="558"/>
      <c r="M15" s="558"/>
      <c r="N15" s="558"/>
      <c r="O15" s="558"/>
      <c r="P15" s="558">
        <v>620201.92000000004</v>
      </c>
      <c r="Q15" s="558"/>
      <c r="R15" s="558"/>
      <c r="S15" s="571">
        <f t="shared" si="3"/>
        <v>1.6001081527347782</v>
      </c>
      <c r="U15" s="551"/>
    </row>
    <row r="16" spans="1:25" s="550" customFormat="1" ht="21" customHeight="1" x14ac:dyDescent="0.25">
      <c r="A16" s="555">
        <v>7</v>
      </c>
      <c r="B16" s="556" t="s">
        <v>418</v>
      </c>
      <c r="C16" s="557">
        <f>'57N'!E18</f>
        <v>1051900</v>
      </c>
      <c r="D16" s="558">
        <f t="shared" si="2"/>
        <v>8184592.949</v>
      </c>
      <c r="E16" s="558"/>
      <c r="F16" s="558"/>
      <c r="G16" s="558"/>
      <c r="H16" s="558"/>
      <c r="I16" s="558">
        <f>555734.389+16200</f>
        <v>571934.38899999997</v>
      </c>
      <c r="J16" s="558">
        <v>69434.692999999999</v>
      </c>
      <c r="K16" s="558">
        <v>85000</v>
      </c>
      <c r="L16" s="558"/>
      <c r="M16" s="558">
        <f>443433.119+304600.785+1569211.803</f>
        <v>2317245.7069999999</v>
      </c>
      <c r="N16" s="558"/>
      <c r="O16" s="558">
        <v>443433.11900000001</v>
      </c>
      <c r="P16" s="558">
        <v>5140978.16</v>
      </c>
      <c r="Q16" s="558"/>
      <c r="R16" s="558"/>
      <c r="S16" s="571">
        <f t="shared" si="3"/>
        <v>7.7807709373514591</v>
      </c>
    </row>
    <row r="17" spans="1:21" s="550" customFormat="1" ht="21" customHeight="1" x14ac:dyDescent="0.25">
      <c r="A17" s="555">
        <v>8</v>
      </c>
      <c r="B17" s="556" t="s">
        <v>419</v>
      </c>
      <c r="C17" s="557">
        <f>'57N'!E19</f>
        <v>5177612</v>
      </c>
      <c r="D17" s="558">
        <f t="shared" si="2"/>
        <v>5442330.4790000003</v>
      </c>
      <c r="E17" s="558">
        <v>5442330.4790000003</v>
      </c>
      <c r="F17" s="558"/>
      <c r="G17" s="558"/>
      <c r="H17" s="558"/>
      <c r="I17" s="558"/>
      <c r="J17" s="558"/>
      <c r="K17" s="558"/>
      <c r="L17" s="558"/>
      <c r="M17" s="558"/>
      <c r="N17" s="558"/>
      <c r="O17" s="558"/>
      <c r="P17" s="558"/>
      <c r="Q17" s="558"/>
      <c r="R17" s="558"/>
      <c r="S17" s="571">
        <f t="shared" si="3"/>
        <v>1.0511275234606225</v>
      </c>
    </row>
    <row r="18" spans="1:21" s="550" customFormat="1" ht="21" customHeight="1" x14ac:dyDescent="0.25">
      <c r="A18" s="559">
        <v>9</v>
      </c>
      <c r="B18" s="560" t="s">
        <v>420</v>
      </c>
      <c r="C18" s="557">
        <f>'57N'!E20</f>
        <v>6282114</v>
      </c>
      <c r="D18" s="558">
        <f t="shared" si="2"/>
        <v>6693944.1449999996</v>
      </c>
      <c r="E18" s="558">
        <v>6693944.1449999996</v>
      </c>
      <c r="F18" s="558"/>
      <c r="G18" s="558"/>
      <c r="H18" s="558"/>
      <c r="I18" s="558"/>
      <c r="J18" s="558"/>
      <c r="K18" s="558"/>
      <c r="L18" s="558"/>
      <c r="M18" s="558"/>
      <c r="N18" s="558"/>
      <c r="O18" s="558"/>
      <c r="P18" s="558"/>
      <c r="Q18" s="558"/>
      <c r="R18" s="558"/>
      <c r="S18" s="571">
        <f t="shared" si="3"/>
        <v>1.0655559808370239</v>
      </c>
    </row>
    <row r="19" spans="1:21" s="550" customFormat="1" ht="21" customHeight="1" x14ac:dyDescent="0.25">
      <c r="A19" s="555">
        <v>10</v>
      </c>
      <c r="B19" s="560" t="s">
        <v>421</v>
      </c>
      <c r="C19" s="557">
        <f>'57N'!E21</f>
        <v>9423402</v>
      </c>
      <c r="D19" s="558">
        <f t="shared" si="2"/>
        <v>9917278.3389999997</v>
      </c>
      <c r="E19" s="558">
        <v>9917278.3389999997</v>
      </c>
      <c r="F19" s="558"/>
      <c r="G19" s="558"/>
      <c r="H19" s="558"/>
      <c r="I19" s="558"/>
      <c r="J19" s="558"/>
      <c r="K19" s="558"/>
      <c r="L19" s="558"/>
      <c r="M19" s="558"/>
      <c r="N19" s="558"/>
      <c r="O19" s="558"/>
      <c r="P19" s="558"/>
      <c r="Q19" s="558"/>
      <c r="R19" s="558"/>
      <c r="S19" s="571">
        <f t="shared" si="3"/>
        <v>1.0524095585649429</v>
      </c>
    </row>
    <row r="20" spans="1:21" s="550" customFormat="1" ht="21" customHeight="1" x14ac:dyDescent="0.25">
      <c r="A20" s="559">
        <v>11</v>
      </c>
      <c r="B20" s="560" t="s">
        <v>422</v>
      </c>
      <c r="C20" s="557">
        <f>'57N'!E22</f>
        <v>6816701</v>
      </c>
      <c r="D20" s="558">
        <f t="shared" si="2"/>
        <v>7301898.1569999997</v>
      </c>
      <c r="E20" s="558">
        <v>7301898.1569999997</v>
      </c>
      <c r="F20" s="558"/>
      <c r="G20" s="558"/>
      <c r="H20" s="558"/>
      <c r="I20" s="558"/>
      <c r="J20" s="558"/>
      <c r="K20" s="558"/>
      <c r="L20" s="558"/>
      <c r="M20" s="558"/>
      <c r="N20" s="558"/>
      <c r="O20" s="558"/>
      <c r="P20" s="558"/>
      <c r="Q20" s="558"/>
      <c r="R20" s="558"/>
      <c r="S20" s="571">
        <f t="shared" si="3"/>
        <v>1.0711777085425926</v>
      </c>
    </row>
    <row r="21" spans="1:21" s="550" customFormat="1" ht="21" customHeight="1" x14ac:dyDescent="0.25">
      <c r="A21" s="555">
        <v>12</v>
      </c>
      <c r="B21" s="560" t="s">
        <v>423</v>
      </c>
      <c r="C21" s="557">
        <f>'57N'!E23</f>
        <v>8958247</v>
      </c>
      <c r="D21" s="558">
        <f t="shared" si="2"/>
        <v>9909896.0010000002</v>
      </c>
      <c r="E21" s="558">
        <v>9909896.0010000002</v>
      </c>
      <c r="F21" s="558"/>
      <c r="G21" s="558"/>
      <c r="H21" s="558"/>
      <c r="I21" s="558"/>
      <c r="J21" s="558"/>
      <c r="K21" s="558"/>
      <c r="L21" s="558"/>
      <c r="M21" s="558"/>
      <c r="N21" s="558"/>
      <c r="O21" s="558"/>
      <c r="P21" s="558"/>
      <c r="Q21" s="558"/>
      <c r="R21" s="558"/>
      <c r="S21" s="571">
        <f t="shared" si="3"/>
        <v>1.106231609934399</v>
      </c>
    </row>
    <row r="22" spans="1:21" s="550" customFormat="1" ht="21" customHeight="1" x14ac:dyDescent="0.25">
      <c r="A22" s="559">
        <v>13</v>
      </c>
      <c r="B22" s="560" t="s">
        <v>424</v>
      </c>
      <c r="C22" s="557">
        <f>'57N'!E24</f>
        <v>13839588</v>
      </c>
      <c r="D22" s="558">
        <f t="shared" si="2"/>
        <v>15017929.405999999</v>
      </c>
      <c r="E22" s="558">
        <v>15017929.405999999</v>
      </c>
      <c r="F22" s="558"/>
      <c r="G22" s="558"/>
      <c r="H22" s="558"/>
      <c r="I22" s="558"/>
      <c r="J22" s="558"/>
      <c r="K22" s="558"/>
      <c r="L22" s="558"/>
      <c r="M22" s="558"/>
      <c r="N22" s="558"/>
      <c r="O22" s="558"/>
      <c r="P22" s="558"/>
      <c r="Q22" s="558"/>
      <c r="R22" s="558"/>
      <c r="S22" s="571">
        <f t="shared" si="3"/>
        <v>1.0851428095980891</v>
      </c>
    </row>
    <row r="23" spans="1:21" s="550" customFormat="1" ht="21" customHeight="1" x14ac:dyDescent="0.25">
      <c r="A23" s="555">
        <v>14</v>
      </c>
      <c r="B23" s="560" t="s">
        <v>388</v>
      </c>
      <c r="C23" s="557">
        <f>'57N'!E25</f>
        <v>9048430</v>
      </c>
      <c r="D23" s="558">
        <f t="shared" si="2"/>
        <v>10340829.84</v>
      </c>
      <c r="E23" s="558">
        <v>10340829.84</v>
      </c>
      <c r="F23" s="558"/>
      <c r="G23" s="558"/>
      <c r="H23" s="558"/>
      <c r="I23" s="558"/>
      <c r="J23" s="558"/>
      <c r="K23" s="558"/>
      <c r="L23" s="558"/>
      <c r="M23" s="558"/>
      <c r="N23" s="558"/>
      <c r="O23" s="558"/>
      <c r="P23" s="558"/>
      <c r="Q23" s="558"/>
      <c r="R23" s="558"/>
      <c r="S23" s="571">
        <f t="shared" si="3"/>
        <v>1.142831390639039</v>
      </c>
    </row>
    <row r="24" spans="1:21" s="550" customFormat="1" ht="21" customHeight="1" x14ac:dyDescent="0.25">
      <c r="A24" s="559">
        <v>15</v>
      </c>
      <c r="B24" s="560" t="s">
        <v>387</v>
      </c>
      <c r="C24" s="557">
        <f>'57N'!E26</f>
        <v>9365225</v>
      </c>
      <c r="D24" s="558">
        <f>SUM(E24:M24,P24:R24)</f>
        <v>10680767.684</v>
      </c>
      <c r="E24" s="558">
        <v>10680767.684</v>
      </c>
      <c r="F24" s="558"/>
      <c r="G24" s="558"/>
      <c r="H24" s="558"/>
      <c r="I24" s="558"/>
      <c r="J24" s="558"/>
      <c r="K24" s="558"/>
      <c r="L24" s="558"/>
      <c r="M24" s="558"/>
      <c r="N24" s="558"/>
      <c r="O24" s="558"/>
      <c r="P24" s="558"/>
      <c r="Q24" s="558"/>
      <c r="R24" s="558"/>
      <c r="S24" s="571">
        <f t="shared" si="3"/>
        <v>1.1404710174074835</v>
      </c>
    </row>
    <row r="25" spans="1:21" s="550" customFormat="1" ht="21" customHeight="1" x14ac:dyDescent="0.25">
      <c r="A25" s="546">
        <v>16</v>
      </c>
      <c r="B25" s="547" t="s">
        <v>428</v>
      </c>
      <c r="C25" s="548">
        <f>'57N'!E27</f>
        <v>14412719.699999999</v>
      </c>
      <c r="D25" s="549">
        <f>SUM(E25:M25,P25:R25)</f>
        <v>0</v>
      </c>
      <c r="E25" s="548"/>
      <c r="F25" s="548"/>
      <c r="G25" s="548"/>
      <c r="H25" s="548"/>
      <c r="I25" s="548"/>
      <c r="J25" s="548"/>
      <c r="K25" s="548"/>
      <c r="L25" s="548"/>
      <c r="M25" s="548"/>
      <c r="N25" s="548"/>
      <c r="O25" s="548"/>
      <c r="P25" s="548"/>
      <c r="Q25" s="548"/>
      <c r="R25" s="548"/>
      <c r="S25" s="571">
        <f t="shared" si="3"/>
        <v>0</v>
      </c>
      <c r="T25" s="551"/>
    </row>
    <row r="26" spans="1:21" s="575" customFormat="1" ht="20.100000000000001" customHeight="1" x14ac:dyDescent="0.25">
      <c r="A26" s="572" t="s">
        <v>46</v>
      </c>
      <c r="B26" s="573" t="s">
        <v>276</v>
      </c>
      <c r="C26" s="574">
        <f t="shared" ref="C26:R26" si="4">SUM(C27:C28)</f>
        <v>230000</v>
      </c>
      <c r="D26" s="574">
        <f t="shared" si="4"/>
        <v>228997.34400000001</v>
      </c>
      <c r="E26" s="574">
        <f t="shared" si="4"/>
        <v>0</v>
      </c>
      <c r="F26" s="574">
        <f t="shared" si="4"/>
        <v>0</v>
      </c>
      <c r="G26" s="574">
        <f t="shared" si="4"/>
        <v>0</v>
      </c>
      <c r="H26" s="574">
        <f t="shared" si="4"/>
        <v>0</v>
      </c>
      <c r="I26" s="574">
        <f t="shared" si="4"/>
        <v>0</v>
      </c>
      <c r="J26" s="574">
        <f t="shared" si="4"/>
        <v>0</v>
      </c>
      <c r="K26" s="574">
        <f t="shared" si="4"/>
        <v>0</v>
      </c>
      <c r="L26" s="574">
        <f t="shared" si="4"/>
        <v>0</v>
      </c>
      <c r="M26" s="574">
        <f t="shared" si="4"/>
        <v>0</v>
      </c>
      <c r="N26" s="574">
        <f t="shared" si="4"/>
        <v>0</v>
      </c>
      <c r="O26" s="574">
        <f t="shared" si="4"/>
        <v>0</v>
      </c>
      <c r="P26" s="574">
        <f t="shared" si="4"/>
        <v>166387.34400000001</v>
      </c>
      <c r="Q26" s="574">
        <f t="shared" si="4"/>
        <v>0</v>
      </c>
      <c r="R26" s="574">
        <f t="shared" si="4"/>
        <v>62610</v>
      </c>
      <c r="S26" s="579">
        <f>D26/C26</f>
        <v>0.99564062608695658</v>
      </c>
    </row>
    <row r="27" spans="1:21" s="550" customFormat="1" ht="26.25" customHeight="1" x14ac:dyDescent="0.25">
      <c r="A27" s="561">
        <v>1</v>
      </c>
      <c r="B27" s="562" t="s">
        <v>425</v>
      </c>
      <c r="C27" s="557">
        <f>'57N'!E29</f>
        <v>230000</v>
      </c>
      <c r="D27" s="558">
        <f t="shared" ref="D27:D28" si="5">SUM(E27:M27,P27:R27)</f>
        <v>193997.34400000001</v>
      </c>
      <c r="E27" s="558"/>
      <c r="F27" s="558"/>
      <c r="G27" s="558"/>
      <c r="H27" s="558"/>
      <c r="I27" s="558"/>
      <c r="J27" s="558"/>
      <c r="K27" s="558"/>
      <c r="L27" s="558"/>
      <c r="M27" s="558"/>
      <c r="N27" s="558"/>
      <c r="O27" s="558"/>
      <c r="P27" s="558">
        <f>169897.344-3510</f>
        <v>166387.34400000001</v>
      </c>
      <c r="Q27" s="558"/>
      <c r="R27" s="558">
        <v>27610</v>
      </c>
      <c r="S27" s="563">
        <f>D27/C27%</f>
        <v>84.346671304347836</v>
      </c>
    </row>
    <row r="28" spans="1:21" s="550" customFormat="1" ht="28.5" customHeight="1" x14ac:dyDescent="0.25">
      <c r="A28" s="564">
        <v>2</v>
      </c>
      <c r="B28" s="565" t="s">
        <v>426</v>
      </c>
      <c r="C28" s="548">
        <f>'57N'!E30</f>
        <v>0</v>
      </c>
      <c r="D28" s="549">
        <f t="shared" si="5"/>
        <v>35000</v>
      </c>
      <c r="E28" s="549"/>
      <c r="F28" s="549"/>
      <c r="G28" s="549"/>
      <c r="H28" s="549"/>
      <c r="I28" s="549"/>
      <c r="J28" s="549"/>
      <c r="K28" s="549"/>
      <c r="L28" s="549"/>
      <c r="M28" s="549"/>
      <c r="N28" s="549"/>
      <c r="O28" s="549"/>
      <c r="P28" s="549"/>
      <c r="Q28" s="549"/>
      <c r="R28" s="549">
        <v>35000</v>
      </c>
      <c r="S28" s="566"/>
      <c r="U28" s="551"/>
    </row>
    <row r="29" spans="1:21" x14ac:dyDescent="0.25">
      <c r="U29" s="583"/>
    </row>
  </sheetData>
  <mergeCells count="22">
    <mergeCell ref="Q1:S1"/>
    <mergeCell ref="A3:S3"/>
    <mergeCell ref="A1:D1"/>
    <mergeCell ref="Q5:Q6"/>
    <mergeCell ref="R5:R6"/>
    <mergeCell ref="N5:O5"/>
    <mergeCell ref="P5:P6"/>
    <mergeCell ref="A2:S2"/>
    <mergeCell ref="A5:A6"/>
    <mergeCell ref="B5:B6"/>
    <mergeCell ref="C5:C6"/>
    <mergeCell ref="D5:D6"/>
    <mergeCell ref="E5:E6"/>
    <mergeCell ref="S5:S6"/>
    <mergeCell ref="K5:K6"/>
    <mergeCell ref="L5:L6"/>
    <mergeCell ref="M5:M6"/>
    <mergeCell ref="F5:F6"/>
    <mergeCell ref="G5:G6"/>
    <mergeCell ref="H5:H6"/>
    <mergeCell ref="I5:I6"/>
    <mergeCell ref="J5:J6"/>
  </mergeCells>
  <conditionalFormatting sqref="B27:B28">
    <cfRule type="colorScale" priority="15">
      <colorScale>
        <cfvo type="min"/>
        <cfvo type="percentile" val="50"/>
        <cfvo type="max"/>
        <color rgb="FFF8696B"/>
        <color rgb="FFFCFCFF"/>
        <color rgb="FF63BE7B"/>
      </colorScale>
    </cfRule>
  </conditionalFormatting>
  <printOptions horizontalCentered="1"/>
  <pageMargins left="0.26" right="0.16" top="0.511811023622047" bottom="0.43307086614173201" header="0.31496062992126" footer="0.31496062992126"/>
  <pageSetup paperSize="9" scale="70" firstPageNumber="24" orientation="landscape"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vt:i4>
      </vt:variant>
    </vt:vector>
  </HeadingPairs>
  <TitlesOfParts>
    <vt:vector size="57" baseType="lpstr">
      <vt:lpstr>48N</vt:lpstr>
      <vt:lpstr>49N</vt:lpstr>
      <vt:lpstr>50N</vt:lpstr>
      <vt:lpstr>51N</vt:lpstr>
      <vt:lpstr>52N</vt:lpstr>
      <vt:lpstr>53N</vt:lpstr>
      <vt:lpstr>54N</vt:lpstr>
      <vt:lpstr>55N</vt:lpstr>
      <vt:lpstr>56N</vt:lpstr>
      <vt:lpstr>57N</vt:lpstr>
      <vt:lpstr>58N</vt:lpstr>
      <vt:lpstr>59N</vt:lpstr>
      <vt:lpstr>60N</vt:lpstr>
      <vt:lpstr>61N</vt:lpstr>
      <vt:lpstr>62N</vt:lpstr>
      <vt:lpstr>59</vt:lpstr>
      <vt:lpstr>60</vt:lpstr>
      <vt:lpstr>61</vt:lpstr>
      <vt:lpstr>62</vt:lpstr>
      <vt:lpstr>63</vt:lpstr>
      <vt:lpstr>64</vt:lpstr>
      <vt:lpstr>65</vt:lpstr>
      <vt:lpstr>66</vt:lpstr>
      <vt:lpstr>67</vt:lpstr>
      <vt:lpstr>5.29</vt:lpstr>
      <vt:lpstr>69</vt:lpstr>
      <vt:lpstr>70</vt:lpstr>
      <vt:lpstr>ĐTC 1</vt:lpstr>
      <vt:lpstr>ĐTC 2</vt:lpstr>
      <vt:lpstr>71</vt:lpstr>
      <vt:lpstr>72</vt:lpstr>
      <vt:lpstr>ĐTC</vt:lpstr>
      <vt:lpstr>ĐTC1</vt:lpstr>
      <vt:lpstr>MS01</vt:lpstr>
      <vt:lpstr>MS02</vt:lpstr>
      <vt:lpstr>MS03</vt:lpstr>
      <vt:lpstr>MS04</vt:lpstr>
      <vt:lpstr>MS05</vt:lpstr>
      <vt:lpstr>MS06</vt:lpstr>
      <vt:lpstr>MS07</vt:lpstr>
      <vt:lpstr>Vay-cho vay</vt:lpstr>
      <vt:lpstr>'55N'!Print_Area</vt:lpstr>
      <vt:lpstr>'59'!Print_Area</vt:lpstr>
      <vt:lpstr>'51N'!Print_Titles</vt:lpstr>
      <vt:lpstr>'53N'!Print_Titles</vt:lpstr>
      <vt:lpstr>'54N'!Print_Titles</vt:lpstr>
      <vt:lpstr>'55N'!Print_Titles</vt:lpstr>
      <vt:lpstr>'56N'!Print_Titles</vt:lpstr>
      <vt:lpstr>'57N'!Print_Titles</vt:lpstr>
      <vt:lpstr>'60'!Print_Titles</vt:lpstr>
      <vt:lpstr>'61'!Print_Titles</vt:lpstr>
      <vt:lpstr>'62N'!Print_Titles</vt:lpstr>
      <vt:lpstr>'64'!Print_Titles</vt:lpstr>
      <vt:lpstr>'65'!Print_Titles</vt:lpstr>
      <vt:lpstr>'69'!Print_Titles</vt:lpstr>
      <vt:lpstr>'70'!Print_Titles</vt:lpstr>
      <vt:lpstr>'MS01'!Print_Titles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cp:lastModifiedBy>
  <cp:lastPrinted>2026-05-28T02:25:03Z</cp:lastPrinted>
  <dcterms:created xsi:type="dcterms:W3CDTF">2017-05-03T08:35:13Z</dcterms:created>
  <dcterms:modified xsi:type="dcterms:W3CDTF">2026-05-28T02:25:23Z</dcterms:modified>
</cp:coreProperties>
</file>